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!PanD\Akademia 2018\Emisja\"/>
    </mc:Choice>
  </mc:AlternateContent>
  <bookViews>
    <workbookView xWindow="0" yWindow="0" windowWidth="20490" windowHeight="7770" activeTab="2"/>
  </bookViews>
  <sheets>
    <sheet name="Wskaźniki emisji" sheetId="1" r:id="rId1"/>
    <sheet name="Emisja na budynek" sheetId="2" state="hidden" r:id="rId2"/>
    <sheet name="Wykresy" sheetId="3" r:id="rId3"/>
    <sheet name="Analiza" sheetId="4" r:id="rId4"/>
  </sheets>
  <definedNames>
    <definedName name="emisja">'Emisja na budynek'!$B$23:$K$32</definedName>
    <definedName name="emisja2">'Emisja na budynek'!$B$22:$K$32</definedName>
    <definedName name="_xlnm.Print_Area" localSheetId="3">Analiza!$B$2:$L$50</definedName>
    <definedName name="_xlnm.Print_Area" localSheetId="2">Wykresy!$B$2:$P$143</definedName>
    <definedName name="zrodla_ciepla">'Emisja na budynek'!$D$22:$K$22</definedName>
    <definedName name="zrodlo">'Emisja na budynek'!$D$23:$K$24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5" i="1"/>
  <c r="O11" i="1"/>
  <c r="C42" i="4"/>
  <c r="H18" i="4"/>
  <c r="L11" i="1"/>
  <c r="K11" i="1"/>
  <c r="K15" i="1"/>
  <c r="L15" i="1"/>
  <c r="J8" i="4"/>
  <c r="E35" i="2" l="1"/>
  <c r="D35" i="2"/>
  <c r="G11" i="4"/>
  <c r="K8" i="4" s="1"/>
  <c r="C4" i="2"/>
  <c r="G138" i="3" s="1"/>
  <c r="C3" i="2"/>
  <c r="G137" i="3" s="1"/>
  <c r="C2" i="2"/>
  <c r="G136" i="3" s="1"/>
  <c r="G12" i="4"/>
  <c r="C7" i="2" s="1"/>
  <c r="G140" i="3" s="1"/>
  <c r="K22" i="2"/>
  <c r="J22" i="2"/>
  <c r="I22" i="2"/>
  <c r="H22" i="2"/>
  <c r="G22" i="2"/>
  <c r="F22" i="2"/>
  <c r="E22" i="2"/>
  <c r="D22" i="2"/>
  <c r="K25" i="2"/>
  <c r="J25" i="2"/>
  <c r="G42" i="1"/>
  <c r="G45" i="1"/>
  <c r="L14" i="1"/>
  <c r="L13" i="1"/>
  <c r="E47" i="1"/>
  <c r="G47" i="1" s="1"/>
  <c r="E46" i="1"/>
  <c r="G43" i="1"/>
  <c r="G44" i="1"/>
  <c r="G46" i="1"/>
  <c r="P12" i="1"/>
  <c r="P13" i="1"/>
  <c r="P14" i="1"/>
  <c r="P15" i="1"/>
  <c r="P16" i="1"/>
  <c r="P11" i="1"/>
  <c r="M13" i="1"/>
  <c r="D6" i="1"/>
  <c r="L16" i="1" s="1"/>
  <c r="H7" i="1"/>
  <c r="O14" i="1" s="1"/>
  <c r="G6" i="1"/>
  <c r="N12" i="1" s="1"/>
  <c r="F6" i="1"/>
  <c r="M14" i="1" s="1"/>
  <c r="G13" i="4" l="1"/>
  <c r="C8" i="2" s="1"/>
  <c r="F19" i="2" s="1"/>
  <c r="F31" i="2" s="1"/>
  <c r="C6" i="2"/>
  <c r="G139" i="3" s="1"/>
  <c r="O16" i="1"/>
  <c r="O13" i="1"/>
  <c r="L12" i="1"/>
  <c r="N14" i="1"/>
  <c r="M11" i="1"/>
  <c r="O12" i="1"/>
  <c r="N15" i="1"/>
  <c r="O15" i="1"/>
  <c r="K13" i="1"/>
  <c r="K16" i="1"/>
  <c r="K12" i="1"/>
  <c r="M16" i="1"/>
  <c r="M12" i="1"/>
  <c r="N13" i="1"/>
  <c r="K14" i="1"/>
  <c r="N16" i="1"/>
  <c r="D18" i="2" l="1"/>
  <c r="D30" i="2" s="1"/>
  <c r="H19" i="2"/>
  <c r="H31" i="2" s="1"/>
  <c r="G18" i="2"/>
  <c r="G30" i="2" s="1"/>
  <c r="I15" i="2"/>
  <c r="I27" i="2" s="1"/>
  <c r="I16" i="2"/>
  <c r="I28" i="2" s="1"/>
  <c r="D20" i="2"/>
  <c r="D32" i="2" s="1"/>
  <c r="G19" i="2"/>
  <c r="G31" i="2" s="1"/>
  <c r="H18" i="2"/>
  <c r="H30" i="2" s="1"/>
  <c r="F16" i="2"/>
  <c r="F28" i="2" s="1"/>
  <c r="E19" i="2"/>
  <c r="E31" i="2" s="1"/>
  <c r="G15" i="2"/>
  <c r="G27" i="2" s="1"/>
  <c r="G16" i="2"/>
  <c r="G28" i="2" s="1"/>
  <c r="E20" i="2"/>
  <c r="E32" i="2" s="1"/>
  <c r="F20" i="2"/>
  <c r="F32" i="2" s="1"/>
  <c r="F15" i="2"/>
  <c r="F27" i="2" s="1"/>
  <c r="G141" i="3"/>
  <c r="K16" i="2"/>
  <c r="K28" i="2" s="1"/>
  <c r="K20" i="2"/>
  <c r="K32" i="2" s="1"/>
  <c r="J18" i="2"/>
  <c r="J30" i="2" s="1"/>
  <c r="K14" i="2"/>
  <c r="G14" i="2"/>
  <c r="I20" i="2"/>
  <c r="I32" i="2" s="1"/>
  <c r="K17" i="2"/>
  <c r="K29" i="2" s="1"/>
  <c r="K15" i="2"/>
  <c r="K27" i="2" s="1"/>
  <c r="J19" i="2"/>
  <c r="J31" i="2" s="1"/>
  <c r="J14" i="2"/>
  <c r="F14" i="2"/>
  <c r="K18" i="2"/>
  <c r="K30" i="2" s="1"/>
  <c r="J16" i="2"/>
  <c r="J28" i="2" s="1"/>
  <c r="J20" i="2"/>
  <c r="J32" i="2" s="1"/>
  <c r="I14" i="2"/>
  <c r="E14" i="2"/>
  <c r="H15" i="2"/>
  <c r="H27" i="2" s="1"/>
  <c r="K19" i="2"/>
  <c r="K31" i="2" s="1"/>
  <c r="J17" i="2"/>
  <c r="J29" i="2" s="1"/>
  <c r="J15" i="2"/>
  <c r="J27" i="2" s="1"/>
  <c r="H14" i="2"/>
  <c r="D14" i="2"/>
  <c r="G17" i="2"/>
  <c r="G29" i="2" s="1"/>
  <c r="E18" i="2"/>
  <c r="E30" i="2" s="1"/>
  <c r="D17" i="2"/>
  <c r="D29" i="2" s="1"/>
  <c r="E15" i="2"/>
  <c r="E27" i="2" s="1"/>
  <c r="D19" i="2"/>
  <c r="D31" i="2" s="1"/>
  <c r="H17" i="2"/>
  <c r="H29" i="2" s="1"/>
  <c r="H20" i="2"/>
  <c r="H32" i="2" s="1"/>
  <c r="I18" i="2"/>
  <c r="I30" i="2" s="1"/>
  <c r="I19" i="2"/>
  <c r="I31" i="2" s="1"/>
  <c r="G20" i="2"/>
  <c r="G32" i="2" s="1"/>
  <c r="E17" i="2"/>
  <c r="E29" i="2" s="1"/>
  <c r="D38" i="2" s="1"/>
  <c r="D16" i="2"/>
  <c r="D28" i="2" s="1"/>
  <c r="D15" i="2"/>
  <c r="D27" i="2" s="1"/>
  <c r="H16" i="2"/>
  <c r="H28" i="2" s="1"/>
  <c r="E16" i="2"/>
  <c r="E28" i="2" s="1"/>
  <c r="I17" i="2"/>
  <c r="I29" i="2" s="1"/>
  <c r="F17" i="2"/>
  <c r="F29" i="2" s="1"/>
  <c r="F18" i="2"/>
  <c r="F30" i="2" s="1"/>
  <c r="D36" i="2" l="1"/>
  <c r="D40" i="2"/>
  <c r="D37" i="2"/>
  <c r="D41" i="2"/>
  <c r="E41" i="2"/>
  <c r="D39" i="2"/>
  <c r="E37" i="2"/>
  <c r="E38" i="2"/>
  <c r="F38" i="2" s="1"/>
  <c r="E36" i="2"/>
  <c r="E40" i="2"/>
  <c r="E39" i="2"/>
  <c r="F36" i="2" l="1"/>
  <c r="F40" i="2"/>
  <c r="F39" i="2"/>
  <c r="F41" i="2"/>
  <c r="F37" i="2"/>
</calcChain>
</file>

<file path=xl/sharedStrings.xml><?xml version="1.0" encoding="utf-8"?>
<sst xmlns="http://schemas.openxmlformats.org/spreadsheetml/2006/main" count="241" uniqueCount="108">
  <si>
    <t>Tlenek siarki</t>
  </si>
  <si>
    <t>SOx/SO2</t>
  </si>
  <si>
    <t>Tlenek azotu</t>
  </si>
  <si>
    <t>NOx/NO2</t>
  </si>
  <si>
    <t>Tlenek węgla</t>
  </si>
  <si>
    <t>CO</t>
  </si>
  <si>
    <t>Dwutlenek węgla</t>
  </si>
  <si>
    <t>CO2</t>
  </si>
  <si>
    <t>Pył zawieszony całkowity</t>
  </si>
  <si>
    <t>TSP</t>
  </si>
  <si>
    <t>Drewno</t>
  </si>
  <si>
    <t>Olej opałowy</t>
  </si>
  <si>
    <t>Gaz ziemny</t>
  </si>
  <si>
    <t>[g/Mg]</t>
  </si>
  <si>
    <t>[g/m3]</t>
  </si>
  <si>
    <t>Propan</t>
  </si>
  <si>
    <t>[g/GJ]</t>
  </si>
  <si>
    <t>Krajowy Ośrodek Bilansowania i Zarządzania Emisjami, Warszawa 01.2015</t>
  </si>
  <si>
    <t>E - emisja substancji</t>
  </si>
  <si>
    <t>B - zużycie paliwa</t>
  </si>
  <si>
    <t>W - wskźnik emisji na jednostkę zużytego paliwa</t>
  </si>
  <si>
    <t>E = B x W</t>
  </si>
  <si>
    <t>E = B x Wo x W</t>
  </si>
  <si>
    <t>Wo - wartość opałowa paliwa</t>
  </si>
  <si>
    <t>W - wskźnik emisji na gigadżul energii chemicznej zawartej w paliwie</t>
  </si>
  <si>
    <t>ciąg naturalny</t>
  </si>
  <si>
    <t>Węgiel kamienny</t>
  </si>
  <si>
    <t>ruszt stały</t>
  </si>
  <si>
    <t>lekki</t>
  </si>
  <si>
    <r>
      <rPr>
        <sz val="11"/>
        <color theme="1"/>
        <rFont val="Arial"/>
        <family val="2"/>
        <charset val="238"/>
      </rPr>
      <t>≤</t>
    </r>
    <r>
      <rPr>
        <sz val="9.35"/>
        <color theme="1"/>
        <rFont val="Calibri"/>
        <family val="2"/>
        <charset val="238"/>
      </rPr>
      <t xml:space="preserve"> 500 kW</t>
    </r>
  </si>
  <si>
    <r>
      <rPr>
        <sz val="11"/>
        <color theme="1"/>
        <rFont val="Arial"/>
        <family val="2"/>
        <charset val="238"/>
      </rPr>
      <t>≤</t>
    </r>
    <r>
      <rPr>
        <sz val="9.35"/>
        <color theme="1"/>
        <rFont val="Calibri"/>
        <family val="2"/>
        <charset val="238"/>
      </rPr>
      <t xml:space="preserve"> 1000 kW</t>
    </r>
  </si>
  <si>
    <t>Benzo(a)piren</t>
  </si>
  <si>
    <t>http://www.gios.gov.pl/images/dokumenty/prtr/Poradnik_metodyczny_w_zakresie_PRTR_dla_Instalacji_spalania_paliw.pdf</t>
  </si>
  <si>
    <r>
      <t xml:space="preserve">16000 x </t>
    </r>
    <r>
      <rPr>
        <sz val="11"/>
        <color rgb="FFFF0000"/>
        <rFont val="Calibri"/>
        <family val="2"/>
        <charset val="238"/>
        <scheme val="minor"/>
      </rPr>
      <t>s</t>
    </r>
  </si>
  <si>
    <r>
      <rPr>
        <i/>
        <sz val="11"/>
        <color theme="9"/>
        <rFont val="Calibri"/>
        <family val="2"/>
        <charset val="238"/>
        <scheme val="minor"/>
      </rPr>
      <t xml:space="preserve">A </t>
    </r>
    <r>
      <rPr>
        <i/>
        <sz val="11"/>
        <color theme="1"/>
        <rFont val="Calibri"/>
        <family val="2"/>
        <charset val="238"/>
        <scheme val="minor"/>
      </rPr>
      <t>- zawartość popiołu wyrażona w %</t>
    </r>
  </si>
  <si>
    <r>
      <rPr>
        <i/>
        <sz val="11"/>
        <color theme="8"/>
        <rFont val="Calibri"/>
        <family val="2"/>
        <charset val="238"/>
        <scheme val="minor"/>
      </rPr>
      <t>s(g)</t>
    </r>
    <r>
      <rPr>
        <i/>
        <sz val="11"/>
        <color theme="1"/>
        <rFont val="Calibri"/>
        <family val="2"/>
        <charset val="238"/>
        <scheme val="minor"/>
      </rPr>
      <t xml:space="preserve"> - zawartość siarki całkowitej wyrażona w mg/m3</t>
    </r>
  </si>
  <si>
    <r>
      <rPr>
        <i/>
        <sz val="11"/>
        <color rgb="FFFF0000"/>
        <rFont val="Calibri"/>
        <family val="2"/>
        <charset val="238"/>
        <scheme val="minor"/>
      </rPr>
      <t>s</t>
    </r>
    <r>
      <rPr>
        <i/>
        <sz val="11"/>
        <color theme="1"/>
        <rFont val="Calibri"/>
        <family val="2"/>
        <charset val="238"/>
        <scheme val="minor"/>
      </rPr>
      <t xml:space="preserve"> - zawartość siarki całkowitej wyrażonej w %</t>
    </r>
  </si>
  <si>
    <t>Wskaźniki emisji zanieczyszczeń dla skojarzonej produkcji ciepła i energii</t>
  </si>
  <si>
    <r>
      <t xml:space="preserve">Ogólny wzór służący do obliczania wielkości emisji na podstawie wskaźnika emisji </t>
    </r>
    <r>
      <rPr>
        <b/>
        <sz val="11"/>
        <color rgb="FFFF0000"/>
        <rFont val="Calibri"/>
        <family val="2"/>
        <charset val="238"/>
        <scheme val="minor"/>
      </rPr>
      <t>na energię chemiczną wprowadzoną w paliwie</t>
    </r>
  </si>
  <si>
    <r>
      <t xml:space="preserve">Ogólny wzór służący do obliczania wielkości emisji na podstawie wskaźnika emisji </t>
    </r>
    <r>
      <rPr>
        <b/>
        <sz val="11"/>
        <color rgb="FFFF0000"/>
        <rFont val="Calibri"/>
        <family val="2"/>
        <charset val="238"/>
        <scheme val="minor"/>
      </rPr>
      <t>na jednostkę zużytego paliwa</t>
    </r>
  </si>
  <si>
    <t>Paliwo: węgiel koksujący, energetyczny 29,3 MJ/kg, zawartość siarki w paliwie 3,3%</t>
  </si>
  <si>
    <t>B(a)P</t>
  </si>
  <si>
    <t>[kg/GJ]</t>
  </si>
  <si>
    <t>[g/kWh]</t>
  </si>
  <si>
    <t>Paliwo</t>
  </si>
  <si>
    <t>[kWh/kg]</t>
  </si>
  <si>
    <t>[kWh/m3]</t>
  </si>
  <si>
    <t>Wartość opałowa paliwa</t>
  </si>
  <si>
    <t>Jednostka emisji</t>
  </si>
  <si>
    <t>ciąg sztuczny</t>
  </si>
  <si>
    <t>g/kWh</t>
  </si>
  <si>
    <r>
      <rPr>
        <sz val="11"/>
        <color theme="1"/>
        <rFont val="Arial"/>
        <family val="2"/>
        <charset val="238"/>
      </rPr>
      <t>ƞ</t>
    </r>
    <r>
      <rPr>
        <sz val="9.35"/>
        <color theme="1"/>
        <rFont val="Calibri"/>
        <family val="2"/>
        <charset val="238"/>
      </rPr>
      <t>=50%</t>
    </r>
  </si>
  <si>
    <r>
      <rPr>
        <sz val="11"/>
        <color theme="1"/>
        <rFont val="Arial"/>
        <family val="2"/>
        <charset val="238"/>
      </rPr>
      <t>ƞ</t>
    </r>
    <r>
      <rPr>
        <sz val="9.35"/>
        <color theme="1"/>
        <rFont val="Calibri"/>
        <family val="2"/>
        <charset val="238"/>
      </rPr>
      <t>=85%</t>
    </r>
  </si>
  <si>
    <r>
      <rPr>
        <sz val="11"/>
        <color theme="1"/>
        <rFont val="Arial"/>
        <family val="2"/>
        <charset val="238"/>
      </rPr>
      <t>ƞ</t>
    </r>
    <r>
      <rPr>
        <sz val="9.35"/>
        <color theme="1"/>
        <rFont val="Calibri"/>
        <family val="2"/>
        <charset val="238"/>
      </rPr>
      <t>=91%</t>
    </r>
  </si>
  <si>
    <r>
      <rPr>
        <sz val="11"/>
        <color theme="1"/>
        <rFont val="Arial"/>
        <family val="2"/>
        <charset val="238"/>
      </rPr>
      <t>ƞ</t>
    </r>
    <r>
      <rPr>
        <sz val="9.35"/>
        <color theme="1"/>
        <rFont val="Calibri"/>
        <family val="2"/>
        <charset val="238"/>
      </rPr>
      <t>=94%</t>
    </r>
  </si>
  <si>
    <t>Wielkość budynku</t>
  </si>
  <si>
    <t>Moc obliczeniowa</t>
  </si>
  <si>
    <t>Ilość mieszkańców</t>
  </si>
  <si>
    <t>[m2]</t>
  </si>
  <si>
    <t>[kW]</t>
  </si>
  <si>
    <t>[os]</t>
  </si>
  <si>
    <t>Zapotrzebowanie energii na CO</t>
  </si>
  <si>
    <t>Zapotrzebowanie energii na CWU</t>
  </si>
  <si>
    <t>[kWh/rok]</t>
  </si>
  <si>
    <t>Zapotrzebowanie sumaryczne energii</t>
  </si>
  <si>
    <r>
      <t>16000 x</t>
    </r>
    <r>
      <rPr>
        <sz val="11"/>
        <color rgb="FFFF0000"/>
        <rFont val="Calibri"/>
        <family val="2"/>
        <charset val="238"/>
        <scheme val="minor"/>
      </rPr>
      <t xml:space="preserve"> s</t>
    </r>
  </si>
  <si>
    <r>
      <t xml:space="preserve">1000 x </t>
    </r>
    <r>
      <rPr>
        <sz val="11"/>
        <color rgb="FF92D050"/>
        <rFont val="Calibri"/>
        <family val="2"/>
        <charset val="238"/>
        <scheme val="minor"/>
      </rPr>
      <t>A</t>
    </r>
  </si>
  <si>
    <r>
      <t xml:space="preserve">1500 x </t>
    </r>
    <r>
      <rPr>
        <sz val="11"/>
        <color rgb="FF92D050"/>
        <rFont val="Calibri"/>
        <family val="2"/>
        <charset val="238"/>
        <scheme val="minor"/>
      </rPr>
      <t>A</t>
    </r>
  </si>
  <si>
    <r>
      <t xml:space="preserve">20359,2 x </t>
    </r>
    <r>
      <rPr>
        <sz val="11"/>
        <color rgb="FFC00000"/>
        <rFont val="Calibri"/>
        <family val="2"/>
        <charset val="238"/>
        <scheme val="minor"/>
      </rPr>
      <t>s(o)</t>
    </r>
  </si>
  <si>
    <r>
      <rPr>
        <i/>
        <sz val="11"/>
        <color rgb="FFC00000"/>
        <rFont val="Calibri"/>
        <family val="2"/>
        <charset val="238"/>
        <scheme val="minor"/>
      </rPr>
      <t xml:space="preserve">s(o) </t>
    </r>
    <r>
      <rPr>
        <i/>
        <sz val="11"/>
        <color theme="1"/>
        <rFont val="Calibri"/>
        <family val="2"/>
        <charset val="238"/>
        <scheme val="minor"/>
      </rPr>
      <t>- zawartość siarki całkowitej wyrażonej w %</t>
    </r>
  </si>
  <si>
    <r>
      <t>0,002 x</t>
    </r>
    <r>
      <rPr>
        <sz val="11"/>
        <color theme="4"/>
        <rFont val="Calibri"/>
        <family val="2"/>
        <charset val="238"/>
        <scheme val="minor"/>
      </rPr>
      <t xml:space="preserve"> s(g)</t>
    </r>
  </si>
  <si>
    <r>
      <rPr>
        <i/>
        <sz val="11"/>
        <color theme="9" tint="-0.249977111117893"/>
        <rFont val="Calibri"/>
        <family val="2"/>
        <charset val="238"/>
        <scheme val="minor"/>
      </rPr>
      <t xml:space="preserve">A(d) </t>
    </r>
    <r>
      <rPr>
        <i/>
        <sz val="11"/>
        <color theme="1"/>
        <rFont val="Calibri"/>
        <family val="2"/>
        <charset val="238"/>
        <scheme val="minor"/>
      </rPr>
      <t>- zawartość popiołu wyrażona w %</t>
    </r>
  </si>
  <si>
    <r>
      <t xml:space="preserve">1500 x </t>
    </r>
    <r>
      <rPr>
        <sz val="11"/>
        <color theme="9" tint="-0.249977111117893"/>
        <rFont val="Calibri"/>
        <family val="2"/>
        <charset val="238"/>
        <scheme val="minor"/>
      </rPr>
      <t>A(d)</t>
    </r>
  </si>
  <si>
    <r>
      <rPr>
        <sz val="11"/>
        <color theme="1"/>
        <rFont val="Arial"/>
        <family val="2"/>
        <charset val="238"/>
      </rPr>
      <t>ƞ</t>
    </r>
    <r>
      <rPr>
        <sz val="9.35"/>
        <color theme="1"/>
        <rFont val="Calibri"/>
        <family val="2"/>
        <charset val="238"/>
      </rPr>
      <t>=72%</t>
    </r>
  </si>
  <si>
    <t>skuteczność odsiarczania</t>
  </si>
  <si>
    <t>Dane na przykładzie Elektrociepłowni Kraków-Łęg</t>
  </si>
  <si>
    <t>Wskaźniki emisji zanieczyszczeń ze spalania paliw (kotły o nominalnej mocy cieplnej do 5 MW)</t>
  </si>
  <si>
    <t>Pompa ciepła</t>
  </si>
  <si>
    <t>powietrze</t>
  </si>
  <si>
    <t>grunt</t>
  </si>
  <si>
    <t>Węgiel kamienny ciąg naturalny</t>
  </si>
  <si>
    <t>Węgiel kamienny ciąg sztuczny</t>
  </si>
  <si>
    <t>Pompa ciepła powietrze/woda</t>
  </si>
  <si>
    <t>Pompa ciepła grunt/woda</t>
  </si>
  <si>
    <t>[kg]</t>
  </si>
  <si>
    <t>Pył zawieszony</t>
  </si>
  <si>
    <t>Roczne wartości emisji zanieczyszczeń ze spalania paliw dla podanych założeń</t>
  </si>
  <si>
    <t>[osób]</t>
  </si>
  <si>
    <t>[kWh]</t>
  </si>
  <si>
    <t>Modernizowane źródło ciepła</t>
  </si>
  <si>
    <t>Nowe źródło ciepła</t>
  </si>
  <si>
    <t>Wskaźnik energetyczny</t>
  </si>
  <si>
    <t>[kWh/m2*rok]</t>
  </si>
  <si>
    <t>Różnica w emisji</t>
  </si>
  <si>
    <t>Analiza ekologiczna</t>
  </si>
  <si>
    <t>→</t>
  </si>
  <si>
    <r>
      <t xml:space="preserve">Redukcja emisji substacji szkodliwych do atmosfery </t>
    </r>
    <r>
      <rPr>
        <b/>
        <sz val="10"/>
        <color rgb="FF000000"/>
        <rFont val="Calibri"/>
        <family val="2"/>
        <charset val="238"/>
        <scheme val="minor"/>
      </rPr>
      <t>[ kg / rok ]</t>
    </r>
  </si>
  <si>
    <t>wartość podana</t>
  </si>
  <si>
    <t>wartość oszacowana</t>
  </si>
  <si>
    <t xml:space="preserve">  Dane emisji podane dla następujących warunków</t>
  </si>
  <si>
    <t>Akademia Viessmann 02-2018</t>
  </si>
  <si>
    <t>Powierzchnia budynku</t>
  </si>
  <si>
    <t>Wskaźnik zapotrzebowania energii</t>
  </si>
  <si>
    <t>[kWh/m2/rok]</t>
  </si>
  <si>
    <t>Zapotrzebowanie enegii na CO</t>
  </si>
  <si>
    <t>Zapotrzebowanie energii - suma</t>
  </si>
  <si>
    <t>Dane charakterystyczne modernizowanego budynku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</si>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</sst>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.3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9"/>
      <color theme="10"/>
      <name val="Calibri"/>
      <family val="2"/>
      <charset val="238"/>
      <scheme val="minor"/>
    </font>
    <font>
      <i/>
      <u/>
      <sz val="8"/>
      <color theme="1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0" tint="-0.24997711111789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8"/>
      <color theme="1"/>
      <name val="Wingdings 2"/>
      <family val="1"/>
      <charset val="2"/>
    </font>
    <font>
      <sz val="11"/>
      <color theme="1" tint="0.3499862666707357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i/>
      <sz val="9"/>
      <color theme="0" tint="-0.34998626667073579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11"/>
      <color rgb="FFEE4523"/>
      <name val="Calibri"/>
      <family val="2"/>
      <charset val="238"/>
      <scheme val="minor"/>
    </font>
    <font>
      <b/>
      <sz val="9"/>
      <color theme="1"/>
      <name val="Arial Black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E45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14" fillId="0" borderId="0" xfId="1" applyFont="1"/>
    <xf numFmtId="0" fontId="3" fillId="0" borderId="0" xfId="0" applyFont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/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4" xfId="0" applyFont="1" applyBorder="1"/>
    <xf numFmtId="0" fontId="0" fillId="5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7" borderId="2" xfId="0" applyNumberForma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quotePrefix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0" fillId="0" borderId="0" xfId="0" applyNumberFormat="1"/>
    <xf numFmtId="1" fontId="0" fillId="0" borderId="12" xfId="0" applyNumberFormat="1" applyBorder="1"/>
    <xf numFmtId="0" fontId="0" fillId="5" borderId="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0" fillId="10" borderId="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21" fillId="10" borderId="3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1" fillId="10" borderId="0" xfId="0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center" vertical="center"/>
    </xf>
    <xf numFmtId="1" fontId="26" fillId="3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13" borderId="0" xfId="0" applyFill="1"/>
    <xf numFmtId="0" fontId="19" fillId="13" borderId="0" xfId="0" applyFont="1" applyFill="1"/>
    <xf numFmtId="0" fontId="6" fillId="13" borderId="0" xfId="0" applyFont="1" applyFill="1"/>
    <xf numFmtId="0" fontId="31" fillId="13" borderId="0" xfId="0" applyFont="1" applyFill="1" applyAlignment="1">
      <alignment horizontal="center"/>
    </xf>
    <xf numFmtId="0" fontId="32" fillId="13" borderId="0" xfId="0" applyFont="1" applyFill="1" applyAlignment="1">
      <alignment horizontal="left" vertical="center"/>
    </xf>
    <xf numFmtId="0" fontId="30" fillId="13" borderId="0" xfId="0" applyFont="1" applyFill="1" applyAlignment="1"/>
    <xf numFmtId="0" fontId="26" fillId="11" borderId="12" xfId="0" applyFont="1" applyFill="1" applyBorder="1" applyAlignment="1">
      <alignment horizontal="center" vertical="center"/>
    </xf>
    <xf numFmtId="0" fontId="34" fillId="13" borderId="0" xfId="0" quotePrefix="1" applyFont="1" applyFill="1" applyAlignment="1">
      <alignment horizontal="center"/>
    </xf>
    <xf numFmtId="0" fontId="36" fillId="13" borderId="0" xfId="0" applyFont="1" applyFill="1" applyBorder="1" applyAlignment="1">
      <alignment vertical="center"/>
    </xf>
    <xf numFmtId="0" fontId="21" fillId="13" borderId="0" xfId="0" applyFont="1" applyFill="1" applyBorder="1" applyAlignment="1">
      <alignment vertical="center"/>
    </xf>
    <xf numFmtId="0" fontId="25" fillId="13" borderId="0" xfId="0" applyFont="1" applyFill="1"/>
    <xf numFmtId="0" fontId="25" fillId="5" borderId="0" xfId="0" applyFont="1" applyFill="1"/>
    <xf numFmtId="0" fontId="37" fillId="13" borderId="0" xfId="0" applyFont="1" applyFill="1"/>
    <xf numFmtId="0" fontId="37" fillId="13" borderId="0" xfId="0" applyFont="1" applyFill="1" applyAlignment="1">
      <alignment horizontal="center"/>
    </xf>
    <xf numFmtId="0" fontId="40" fillId="13" borderId="0" xfId="0" applyFont="1" applyFill="1"/>
    <xf numFmtId="1" fontId="37" fillId="13" borderId="0" xfId="0" applyNumberFormat="1" applyFont="1" applyFill="1"/>
    <xf numFmtId="0" fontId="38" fillId="13" borderId="0" xfId="0" applyFont="1" applyFill="1" applyAlignment="1">
      <alignment horizontal="left"/>
    </xf>
    <xf numFmtId="0" fontId="38" fillId="13" borderId="0" xfId="0" applyFont="1" applyFill="1" applyAlignment="1">
      <alignment horizontal="left" vertical="center"/>
    </xf>
    <xf numFmtId="0" fontId="25" fillId="12" borderId="0" xfId="0" applyFont="1" applyFill="1"/>
    <xf numFmtId="0" fontId="29" fillId="12" borderId="0" xfId="0" applyFont="1" applyFill="1" applyAlignment="1"/>
    <xf numFmtId="0" fontId="37" fillId="13" borderId="0" xfId="0" applyFont="1" applyFill="1" applyAlignment="1">
      <alignment horizontal="left"/>
    </xf>
    <xf numFmtId="0" fontId="39" fillId="13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5" borderId="3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1" fillId="5" borderId="0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wrapText="1"/>
    </xf>
    <xf numFmtId="0" fontId="21" fillId="7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41" fillId="12" borderId="0" xfId="0" applyFont="1" applyFill="1" applyAlignment="1">
      <alignment horizontal="center"/>
    </xf>
    <xf numFmtId="0" fontId="30" fillId="4" borderId="0" xfId="0" applyFont="1" applyFill="1" applyAlignment="1">
      <alignment horizontal="center" vertical="center"/>
    </xf>
    <xf numFmtId="0" fontId="29" fillId="12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/>
    </xf>
    <xf numFmtId="0" fontId="19" fillId="11" borderId="12" xfId="0" applyFont="1" applyFill="1" applyBorder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left" vertical="center"/>
    </xf>
    <xf numFmtId="0" fontId="3" fillId="11" borderId="12" xfId="0" applyFont="1" applyFill="1" applyBorder="1" applyAlignment="1">
      <alignment horizontal="center" vertical="center"/>
    </xf>
    <xf numFmtId="0" fontId="42" fillId="13" borderId="0" xfId="0" applyFont="1" applyFill="1"/>
    <xf numFmtId="0" fontId="43" fillId="13" borderId="0" xfId="0" applyFont="1" applyFill="1" applyAlignment="1">
      <alignment horizontal="left" vertical="center" textRotation="180"/>
    </xf>
    <xf numFmtId="0" fontId="30" fillId="4" borderId="0" xfId="0" applyFont="1" applyFill="1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EE452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l-PL"/>
              <a:t>Redukcja</a:t>
            </a:r>
            <a:r>
              <a:rPr lang="pl-PL" baseline="0"/>
              <a:t> emisji substacji szkodliwych do atmosfery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pl-P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'Emisja na budynek'!$F$35</c:f>
              <c:strCache>
                <c:ptCount val="1"/>
                <c:pt idx="0">
                  <c:v>Różnica w emisji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'Emisja na budynek'!$B$36:$B$41</c:f>
              <c:strCache>
                <c:ptCount val="6"/>
                <c:pt idx="0">
                  <c:v>Tlenek siarki</c:v>
                </c:pt>
                <c:pt idx="1">
                  <c:v>Tlenek azotu</c:v>
                </c:pt>
                <c:pt idx="2">
                  <c:v>Tlenek węgla</c:v>
                </c:pt>
                <c:pt idx="3">
                  <c:v>Dwutlenek węgla</c:v>
                </c:pt>
                <c:pt idx="4">
                  <c:v>Pył zawieszony</c:v>
                </c:pt>
                <c:pt idx="5">
                  <c:v>Benzo(a)piren</c:v>
                </c:pt>
              </c:strCache>
            </c:strRef>
          </c:cat>
          <c:val>
            <c:numRef>
              <c:f>'Emisja na budynek'!$F$36:$F$41</c:f>
              <c:numCache>
                <c:formatCode>0.00</c:formatCode>
                <c:ptCount val="6"/>
                <c:pt idx="0">
                  <c:v>35.388371240835724</c:v>
                </c:pt>
                <c:pt idx="1">
                  <c:v>3.9747517837409925</c:v>
                </c:pt>
                <c:pt idx="2">
                  <c:v>215.32089163889648</c:v>
                </c:pt>
                <c:pt idx="3">
                  <c:v>2393.6450839706808</c:v>
                </c:pt>
                <c:pt idx="4">
                  <c:v>36.734909480628573</c:v>
                </c:pt>
                <c:pt idx="5">
                  <c:v>1.8925374470794405E-2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5-421A-8319-F7081FC83A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648464"/>
        <c:axId val="435660272"/>
      </c:barChart>
      <c:catAx>
        <c:axId val="43564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5660272"/>
        <c:crosses val="autoZero"/>
        <c:auto val="1"/>
        <c:lblAlgn val="ctr"/>
        <c:lblOffset val="100"/>
        <c:noMultiLvlLbl val="0"/>
      </c:catAx>
      <c:valAx>
        <c:axId val="43566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5648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rgbClr val="EE4523"/>
              </a:solidFill>
              <a:latin typeface="+mj-lt"/>
              <a:ea typeface="+mj-ea"/>
              <a:cs typeface="+mj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8692097880894769E-2"/>
          <c:y val="0.12895987694596658"/>
          <c:w val="0.91511507860595198"/>
          <c:h val="0.504196074724294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'Emisja na budynek'!$B$27:$C$27</c:f>
              <c:strCache>
                <c:ptCount val="2"/>
                <c:pt idx="0">
                  <c:v>Tlenek siarki</c:v>
                </c:pt>
                <c:pt idx="1">
                  <c:v>SOx/SO2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B0C-40D8-AFFC-88C8371DDEF1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0C-40D8-AFFC-88C8371DDEF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B0C-40D8-AFFC-88C8371DDEF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B0C-40D8-AFFC-88C8371DDEF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B0C-40D8-AFFC-88C8371DDEF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BB0C-40D8-AFFC-88C8371DDEF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BB0C-40D8-AFFC-88C8371DDEF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BB0C-40D8-AFFC-88C8371DDE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'Emisja na budynek'!$D$23:$K$24</c:f>
              <c:strCache>
                <c:ptCount val="8"/>
                <c:pt idx="0">
                  <c:v>Węgiel kamienny ciąg naturalny</c:v>
                </c:pt>
                <c:pt idx="1">
                  <c:v>Węgiel kamienny ciąg sztuczny</c:v>
                </c:pt>
                <c:pt idx="2">
                  <c:v>Drewno</c:v>
                </c:pt>
                <c:pt idx="3">
                  <c:v>Olej opałowy</c:v>
                </c:pt>
                <c:pt idx="4">
                  <c:v>Gaz ziemny</c:v>
                </c:pt>
                <c:pt idx="5">
                  <c:v>Propan</c:v>
                </c:pt>
                <c:pt idx="6">
                  <c:v>Pompa ciepła powietrze/woda</c:v>
                </c:pt>
                <c:pt idx="7">
                  <c:v>Pompa ciepła grunt/woda</c:v>
                </c:pt>
              </c:strCache>
            </c:strRef>
          </c:cat>
          <c:val>
            <c:numRef>
              <c:f>'Emisja na budynek'!$D$27:$K$27</c:f>
              <c:numCache>
                <c:formatCode>0.0000</c:formatCode>
                <c:ptCount val="8"/>
                <c:pt idx="0">
                  <c:v>82.54267767272728</c:v>
                </c:pt>
                <c:pt idx="1">
                  <c:v>57.321303939393957</c:v>
                </c:pt>
                <c:pt idx="2">
                  <c:v>0.41199834990512341</c:v>
                </c:pt>
                <c:pt idx="3">
                  <c:v>2.1718215733969379</c:v>
                </c:pt>
                <c:pt idx="4">
                  <c:v>1.4398881264437693E-4</c:v>
                </c:pt>
                <c:pt idx="5">
                  <c:v>6.2995105531909859E-2</c:v>
                </c:pt>
                <c:pt idx="6">
                  <c:v>24.896842522687724</c:v>
                </c:pt>
                <c:pt idx="7">
                  <c:v>21.932932698558233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C-40D8-AFFC-88C8371DDE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380409856"/>
        <c:axId val="380410184"/>
      </c:barChart>
      <c:catAx>
        <c:axId val="380409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[ kg</a:t>
                </a:r>
                <a:r>
                  <a:rPr lang="pl-PL" baseline="0"/>
                  <a:t> / rok ]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9.0666651636968923E-2"/>
              <c:y val="0.3630640822324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crossAx val="380410184"/>
        <c:crosses val="autoZero"/>
        <c:auto val="1"/>
        <c:lblAlgn val="ctr"/>
        <c:lblOffset val="100"/>
        <c:noMultiLvlLbl val="0"/>
      </c:catAx>
      <c:valAx>
        <c:axId val="38041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04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rgbClr val="EE4523"/>
              </a:solidFill>
              <a:latin typeface="+mj-lt"/>
              <a:ea typeface="+mj-ea"/>
              <a:cs typeface="+mj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8692097880894769E-2"/>
          <c:y val="0.12895987694596658"/>
          <c:w val="0.91511507860595198"/>
          <c:h val="0.504196074724294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'Emisja na budynek'!$B$28:$C$28</c:f>
              <c:strCache>
                <c:ptCount val="2"/>
                <c:pt idx="0">
                  <c:v>Tlenek azotu</c:v>
                </c:pt>
                <c:pt idx="1">
                  <c:v>NOx/NO2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BF46-4D0A-995A-F27C4E887580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BF46-4D0A-995A-F27C4E88758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F46-4D0A-995A-F27C4E88758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F46-4D0A-995A-F27C4E88758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BF46-4D0A-995A-F27C4E88758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46-4D0A-995A-F27C4E88758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46-4D0A-995A-F27C4E88758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F46-4D0A-995A-F27C4E887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'Emisja na budynek'!$D$23:$K$24</c:f>
              <c:strCache>
                <c:ptCount val="8"/>
                <c:pt idx="0">
                  <c:v>Węgiel kamienny ciąg naturalny</c:v>
                </c:pt>
                <c:pt idx="1">
                  <c:v>Węgiel kamienny ciąg sztuczny</c:v>
                </c:pt>
                <c:pt idx="2">
                  <c:v>Drewno</c:v>
                </c:pt>
                <c:pt idx="3">
                  <c:v>Olej opałowy</c:v>
                </c:pt>
                <c:pt idx="4">
                  <c:v>Gaz ziemny</c:v>
                </c:pt>
                <c:pt idx="5">
                  <c:v>Propan</c:v>
                </c:pt>
                <c:pt idx="6">
                  <c:v>Pompa ciepła powietrze/woda</c:v>
                </c:pt>
                <c:pt idx="7">
                  <c:v>Pompa ciepła grunt/woda</c:v>
                </c:pt>
              </c:strCache>
            </c:strRef>
          </c:cat>
          <c:val>
            <c:numRef>
              <c:f>'Emisja na budynek'!$D$28:$K$28</c:f>
              <c:numCache>
                <c:formatCode>0.0000</c:formatCode>
                <c:ptCount val="8"/>
                <c:pt idx="0">
                  <c:v>9.8692332</c:v>
                </c:pt>
                <c:pt idx="1">
                  <c:v>6.2305765151515171</c:v>
                </c:pt>
                <c:pt idx="2">
                  <c:v>3.7454395445920303</c:v>
                </c:pt>
                <c:pt idx="3">
                  <c:v>3.6501202914234234</c:v>
                </c:pt>
                <c:pt idx="4">
                  <c:v>2.7357874402431617</c:v>
                </c:pt>
                <c:pt idx="5">
                  <c:v>3.7797063319145923</c:v>
                </c:pt>
                <c:pt idx="6">
                  <c:v>2.5606659113308661</c:v>
                </c:pt>
                <c:pt idx="7">
                  <c:v>2.2558247314105246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6-4D0A-995A-F27C4E8875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380409856"/>
        <c:axId val="380410184"/>
      </c:barChart>
      <c:catAx>
        <c:axId val="380409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[ kg</a:t>
                </a:r>
                <a:r>
                  <a:rPr lang="pl-PL" baseline="0"/>
                  <a:t> / rok ]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9.0666651636968923E-2"/>
              <c:y val="0.3630640822324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crossAx val="380410184"/>
        <c:crosses val="autoZero"/>
        <c:auto val="1"/>
        <c:lblAlgn val="ctr"/>
        <c:lblOffset val="100"/>
        <c:noMultiLvlLbl val="0"/>
      </c:catAx>
      <c:valAx>
        <c:axId val="38041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04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rgbClr val="EE4523"/>
              </a:solidFill>
              <a:latin typeface="+mj-lt"/>
              <a:ea typeface="+mj-ea"/>
              <a:cs typeface="+mj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674460060621907"/>
          <c:y val="0.12895987694596658"/>
          <c:w val="0.82583291291524374"/>
          <c:h val="0.5976584797716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'Emisja na budynek'!$B$29:$C$29</c:f>
              <c:strCache>
                <c:ptCount val="2"/>
                <c:pt idx="0">
                  <c:v>Tlenek węgla</c:v>
                </c:pt>
                <c:pt idx="1">
                  <c:v>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94-4034-A517-BD5798A9D21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94-4034-A517-BD5798A9D21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94-4034-A517-BD5798A9D21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94-4034-A517-BD5798A9D21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94-4034-A517-BD5798A9D21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94-4034-A517-BD5798A9D21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94-4034-A517-BD5798A9D21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94-4034-A517-BD5798A9D2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'Emisja na budynek'!$D$23:$K$24</c:f>
              <c:strCache>
                <c:ptCount val="8"/>
                <c:pt idx="0">
                  <c:v>Węgiel kamienny ciąg naturalny</c:v>
                </c:pt>
                <c:pt idx="1">
                  <c:v>Węgiel kamienny ciąg sztuczny</c:v>
                </c:pt>
                <c:pt idx="2">
                  <c:v>Drewno</c:v>
                </c:pt>
                <c:pt idx="3">
                  <c:v>Olej opałowy</c:v>
                </c:pt>
                <c:pt idx="4">
                  <c:v>Gaz ziemny</c:v>
                </c:pt>
                <c:pt idx="5">
                  <c:v>Propan</c:v>
                </c:pt>
                <c:pt idx="6">
                  <c:v>Pompa ciepła powietrze/woda</c:v>
                </c:pt>
                <c:pt idx="7">
                  <c:v>Pompa ciepła grunt/woda</c:v>
                </c:pt>
              </c:strCache>
            </c:strRef>
          </c:cat>
          <c:val>
            <c:numRef>
              <c:f>'Emisja na budynek'!$D$29:$K$29</c:f>
              <c:numCache>
                <c:formatCode>0.0000</c:formatCode>
                <c:ptCount val="8"/>
                <c:pt idx="0">
                  <c:v>201.87067909090911</c:v>
                </c:pt>
                <c:pt idx="1">
                  <c:v>218.07017803030305</c:v>
                </c:pt>
                <c:pt idx="2">
                  <c:v>97.381428159392797</c:v>
                </c:pt>
                <c:pt idx="3">
                  <c:v>1.0402842830556758</c:v>
                </c:pt>
                <c:pt idx="4">
                  <c:v>0.53995804741641351</c:v>
                </c:pt>
                <c:pt idx="5">
                  <c:v>2.5198042212763943</c:v>
                </c:pt>
                <c:pt idx="6">
                  <c:v>3.1208115794344931</c:v>
                </c:pt>
                <c:pt idx="7">
                  <c:v>2.7492863914065775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A94-4034-A517-BD5798A9D2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380409856"/>
        <c:axId val="380410184"/>
      </c:barChart>
      <c:catAx>
        <c:axId val="380409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[ kg</a:t>
                </a:r>
                <a:r>
                  <a:rPr lang="pl-PL" baseline="0"/>
                  <a:t> / rok ]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9.3909188671383523E-2"/>
              <c:y val="0.33055527114023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crossAx val="380410184"/>
        <c:crosses val="autoZero"/>
        <c:auto val="1"/>
        <c:lblAlgn val="ctr"/>
        <c:lblOffset val="100"/>
        <c:noMultiLvlLbl val="0"/>
      </c:catAx>
      <c:valAx>
        <c:axId val="38041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04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rgbClr val="EE4523"/>
              </a:solidFill>
              <a:latin typeface="+mj-lt"/>
              <a:ea typeface="+mj-ea"/>
              <a:cs typeface="+mj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674460060621907"/>
          <c:y val="0.12895987694596658"/>
          <c:w val="0.82583291291524374"/>
          <c:h val="0.5976584797716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'Emisja na budynek'!$B$30:$C$30</c:f>
              <c:strCache>
                <c:ptCount val="2"/>
                <c:pt idx="0">
                  <c:v>Dwutlenek węgla</c:v>
                </c:pt>
                <c:pt idx="1">
                  <c:v>CO2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A6-4C16-A7B6-B46051F4EF86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A6-4C16-A7B6-B46051F4EF8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A6-4C16-A7B6-B46051F4EF8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A6-4C16-A7B6-B46051F4EF8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A6-4C16-A7B6-B46051F4EF8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A6-4C16-A7B6-B46051F4EF8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A6-4C16-A7B6-B46051F4EF8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4A6-4C16-A7B6-B46051F4EF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'Emisja na budynek'!$D$23:$K$24</c:f>
              <c:strCache>
                <c:ptCount val="8"/>
                <c:pt idx="0">
                  <c:v>Węgiel kamienny ciąg naturalny</c:v>
                </c:pt>
                <c:pt idx="1">
                  <c:v>Węgiel kamienny ciąg sztuczny</c:v>
                </c:pt>
                <c:pt idx="2">
                  <c:v>Drewno</c:v>
                </c:pt>
                <c:pt idx="3">
                  <c:v>Olej opałowy</c:v>
                </c:pt>
                <c:pt idx="4">
                  <c:v>Gaz ziemny</c:v>
                </c:pt>
                <c:pt idx="5">
                  <c:v>Propan</c:v>
                </c:pt>
                <c:pt idx="6">
                  <c:v>Pompa ciepła powietrze/woda</c:v>
                </c:pt>
                <c:pt idx="7">
                  <c:v>Pompa ciepła grunt/woda</c:v>
                </c:pt>
              </c:strCache>
            </c:strRef>
          </c:cat>
          <c:val>
            <c:numRef>
              <c:f>'Emisja na budynek'!$D$30:$K$30</c:f>
              <c:numCache>
                <c:formatCode>0.0000</c:formatCode>
                <c:ptCount val="8"/>
                <c:pt idx="0">
                  <c:v>8299.127918181819</c:v>
                </c:pt>
                <c:pt idx="1">
                  <c:v>5763.2832765151525</c:v>
                </c:pt>
                <c:pt idx="2">
                  <c:v>4494.5274535104372</c:v>
                </c:pt>
                <c:pt idx="3">
                  <c:v>4927.6623934216223</c:v>
                </c:pt>
                <c:pt idx="4">
                  <c:v>3599.7203161094235</c:v>
                </c:pt>
                <c:pt idx="5">
                  <c:v>4031.6867540422309</c:v>
                </c:pt>
                <c:pt idx="6">
                  <c:v>3824.9947050504811</c:v>
                </c:pt>
                <c:pt idx="7">
                  <c:v>3369.6381925444716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4A6-4C16-A7B6-B46051F4EF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380409856"/>
        <c:axId val="380410184"/>
      </c:barChart>
      <c:catAx>
        <c:axId val="380409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[ kg</a:t>
                </a:r>
                <a:r>
                  <a:rPr lang="pl-PL" baseline="0"/>
                  <a:t> / rok ]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9.3909188671383523E-2"/>
              <c:y val="0.33055527114023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crossAx val="380410184"/>
        <c:crosses val="autoZero"/>
        <c:auto val="1"/>
        <c:lblAlgn val="ctr"/>
        <c:lblOffset val="100"/>
        <c:noMultiLvlLbl val="0"/>
      </c:catAx>
      <c:valAx>
        <c:axId val="38041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04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rgbClr val="EE4523"/>
              </a:solidFill>
              <a:latin typeface="+mj-lt"/>
              <a:ea typeface="+mj-ea"/>
              <a:cs typeface="+mj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059874925511114"/>
          <c:y val="0.12895987694596658"/>
          <c:w val="0.83197877960081679"/>
          <c:h val="0.5976584797716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'Emisja na budynek'!$B$31:$C$31</c:f>
              <c:strCache>
                <c:ptCount val="2"/>
                <c:pt idx="0">
                  <c:v>Pył zawieszony</c:v>
                </c:pt>
                <c:pt idx="1">
                  <c:v>TSP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F0-482B-A898-01F51232B78F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F0-482B-A898-01F51232B78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F0-482B-A898-01F51232B78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F0-482B-A898-01F51232B78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F0-482B-A898-01F51232B78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F0-482B-A898-01F51232B78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F0-482B-A898-01F51232B78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F0-482B-A898-01F51232B7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'Emisja na budynek'!$D$23:$K$24</c:f>
              <c:strCache>
                <c:ptCount val="8"/>
                <c:pt idx="0">
                  <c:v>Węgiel kamienny ciąg naturalny</c:v>
                </c:pt>
                <c:pt idx="1">
                  <c:v>Węgiel kamienny ciąg sztuczny</c:v>
                </c:pt>
                <c:pt idx="2">
                  <c:v>Drewno</c:v>
                </c:pt>
                <c:pt idx="3">
                  <c:v>Olej opałowy</c:v>
                </c:pt>
                <c:pt idx="4">
                  <c:v>Gaz ziemny</c:v>
                </c:pt>
                <c:pt idx="5">
                  <c:v>Propan</c:v>
                </c:pt>
                <c:pt idx="6">
                  <c:v>Pompa ciepła powietrze/woda</c:v>
                </c:pt>
                <c:pt idx="7">
                  <c:v>Pompa ciepła grunt/woda</c:v>
                </c:pt>
              </c:strCache>
            </c:strRef>
          </c:cat>
          <c:val>
            <c:numRef>
              <c:f>'Emisja na budynek'!$D$31:$K$31</c:f>
              <c:numCache>
                <c:formatCode>0.0000</c:formatCode>
                <c:ptCount val="8"/>
                <c:pt idx="0">
                  <c:v>35.888120727272735</c:v>
                </c:pt>
                <c:pt idx="1">
                  <c:v>37.383459090909099</c:v>
                </c:pt>
                <c:pt idx="2">
                  <c:v>3.9327115218216324</c:v>
                </c:pt>
                <c:pt idx="3">
                  <c:v>0.62052044954198204</c:v>
                </c:pt>
                <c:pt idx="4">
                  <c:v>8.9993007902735591E-4</c:v>
                </c:pt>
                <c:pt idx="5">
                  <c:v>3.149755276595493E-2</c:v>
                </c:pt>
                <c:pt idx="6">
                  <c:v>0.73619144950762405</c:v>
                </c:pt>
                <c:pt idx="7">
                  <c:v>0.64854961028052593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CF0-482B-A898-01F51232B7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380409856"/>
        <c:axId val="380410184"/>
      </c:barChart>
      <c:catAx>
        <c:axId val="380409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[ kg</a:t>
                </a:r>
                <a:r>
                  <a:rPr lang="pl-PL" baseline="0"/>
                  <a:t> / rok ]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9.3909188671383523E-2"/>
              <c:y val="0.33055527114023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crossAx val="380410184"/>
        <c:crosses val="autoZero"/>
        <c:auto val="1"/>
        <c:lblAlgn val="ctr"/>
        <c:lblOffset val="100"/>
        <c:noMultiLvlLbl val="0"/>
      </c:catAx>
      <c:valAx>
        <c:axId val="38041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04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rgbClr val="EE4523"/>
              </a:solidFill>
              <a:latin typeface="+mj-lt"/>
              <a:ea typeface="+mj-ea"/>
              <a:cs typeface="+mj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059874925511114"/>
          <c:y val="0.12895987694596658"/>
          <c:w val="0.83197877960081679"/>
          <c:h val="0.5976584797716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'Emisja na budynek'!$B$32:$C$32</c:f>
              <c:strCache>
                <c:ptCount val="2"/>
                <c:pt idx="0">
                  <c:v>Benzo(a)piren</c:v>
                </c:pt>
                <c:pt idx="1">
                  <c:v>B(a)P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99-448C-930B-BA221825FBD4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99-448C-930B-BA221825FBD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99-448C-930B-BA221825FB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799-448C-930B-BA221825FBD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799-448C-930B-BA221825FBD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799-448C-930B-BA221825FB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'Emisja na budynek'!$D$23:$K$24</c:f>
              <c:strCache>
                <c:ptCount val="8"/>
                <c:pt idx="0">
                  <c:v>Węgiel kamienny ciąg naturalny</c:v>
                </c:pt>
                <c:pt idx="1">
                  <c:v>Węgiel kamienny ciąg sztuczny</c:v>
                </c:pt>
                <c:pt idx="2">
                  <c:v>Drewno</c:v>
                </c:pt>
                <c:pt idx="3">
                  <c:v>Olej opałowy</c:v>
                </c:pt>
                <c:pt idx="4">
                  <c:v>Gaz ziemny</c:v>
                </c:pt>
                <c:pt idx="5">
                  <c:v>Propan</c:v>
                </c:pt>
                <c:pt idx="6">
                  <c:v>Pompa ciepła powietrze/woda</c:v>
                </c:pt>
                <c:pt idx="7">
                  <c:v>Pompa ciepła grunt/woda</c:v>
                </c:pt>
              </c:strCache>
            </c:strRef>
          </c:cat>
          <c:val>
            <c:numRef>
              <c:f>'Emisja na budynek'!$D$32:$K$32</c:f>
              <c:numCache>
                <c:formatCode>0.0000</c:formatCode>
                <c:ptCount val="8"/>
                <c:pt idx="0">
                  <c:v>2.7252541677272733E-2</c:v>
                </c:pt>
                <c:pt idx="1">
                  <c:v>1.8925376164772727E-2</c:v>
                </c:pt>
                <c:pt idx="2">
                  <c:v>1.462968686117647E-2</c:v>
                </c:pt>
                <c:pt idx="3">
                  <c:v>4.7451563788504508E-4</c:v>
                </c:pt>
                <c:pt idx="4">
                  <c:v>3.5403249308936173E-5</c:v>
                </c:pt>
                <c:pt idx="5">
                  <c:v>3.540324930893335E-8</c:v>
                </c:pt>
                <c:pt idx="6">
                  <c:v>1.9228943109735442E-9</c:v>
                </c:pt>
                <c:pt idx="7">
                  <c:v>1.693978321571932E-9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799-448C-930B-BA221825FB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380409856"/>
        <c:axId val="380410184"/>
      </c:barChart>
      <c:catAx>
        <c:axId val="380409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[ kg</a:t>
                </a:r>
                <a:r>
                  <a:rPr lang="pl-PL" baseline="0"/>
                  <a:t> / rok ]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9.3909188671383523E-2"/>
              <c:y val="0.33055527114023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crossAx val="380410184"/>
        <c:crosses val="autoZero"/>
        <c:auto val="1"/>
        <c:lblAlgn val="ctr"/>
        <c:lblOffset val="100"/>
        <c:noMultiLvlLbl val="0"/>
      </c:catAx>
      <c:valAx>
        <c:axId val="38041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04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3677735935182"/>
          <c:y val="3.2445223343947206E-2"/>
          <c:w val="0.80541768800639046"/>
          <c:h val="0.768499987658282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'Emisja na budynek'!$F$35</c:f>
              <c:strCache>
                <c:ptCount val="1"/>
                <c:pt idx="0">
                  <c:v>Różnica w emisji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3FB-4EA4-98CB-AD0F4989BF1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53FB-4EA4-98CB-AD0F4989BF1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3FB-4EA4-98CB-AD0F4989BF1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647-4E80-B7DB-15E475C66ADC}"/>
              </c:ext>
            </c:extLst>
          </c:dPt>
          <c:dLbls>
            <c:delete val="1"/>
          </c:dLbls>
          <c:cat>
            <c:strRef>
              <c:f>'Emisja na budynek'!$B$36:$B$41</c:f>
              <c:strCache>
                <c:ptCount val="6"/>
                <c:pt idx="0">
                  <c:v>Tlenek siarki</c:v>
                </c:pt>
                <c:pt idx="1">
                  <c:v>Tlenek azotu</c:v>
                </c:pt>
                <c:pt idx="2">
                  <c:v>Tlenek węgla</c:v>
                </c:pt>
                <c:pt idx="3">
                  <c:v>Dwutlenek węgla</c:v>
                </c:pt>
                <c:pt idx="4">
                  <c:v>Pył zawieszony</c:v>
                </c:pt>
                <c:pt idx="5">
                  <c:v>Benzo(a)piren</c:v>
                </c:pt>
              </c:strCache>
            </c:strRef>
          </c:cat>
          <c:val>
            <c:numRef>
              <c:f>'Emisja na budynek'!$F$36:$F$41</c:f>
              <c:numCache>
                <c:formatCode>0.00</c:formatCode>
                <c:ptCount val="6"/>
                <c:pt idx="0">
                  <c:v>35.388371240835724</c:v>
                </c:pt>
                <c:pt idx="1">
                  <c:v>3.9747517837409925</c:v>
                </c:pt>
                <c:pt idx="2">
                  <c:v>215.32089163889648</c:v>
                </c:pt>
                <c:pt idx="3">
                  <c:v>2393.6450839706808</c:v>
                </c:pt>
                <c:pt idx="4">
                  <c:v>36.734909480628573</c:v>
                </c:pt>
                <c:pt idx="5">
                  <c:v>1.8925374470794405E-2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6-4A0A-BBFB-BEB477C089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648464"/>
        <c:axId val="435660272"/>
      </c:barChart>
      <c:catAx>
        <c:axId val="43564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5660272"/>
        <c:crosses val="autoZero"/>
        <c:auto val="1"/>
        <c:lblAlgn val="ctr"/>
        <c:lblOffset val="100"/>
        <c:noMultiLvlLbl val="0"/>
      </c:catAx>
      <c:valAx>
        <c:axId val="43566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0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5648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302558</xdr:colOff>
      <xdr:row>18</xdr:row>
      <xdr:rowOff>168089</xdr:rowOff>
    </xdr:from>
    <xdr:to>
      <xdr:col>15</xdr:col>
      <xdr:colOff>625287</xdr:colOff>
      <xdr:row>47</xdr:row>
      <xdr:rowOff>134471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1940" y="3888442"/>
          <a:ext cx="5219700" cy="571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605117</xdr:colOff>
      <xdr:row>42</xdr:row>
      <xdr:rowOff>51547</xdr:rowOff>
    </xdr:from>
    <xdr:to>
      <xdr:col>6</xdr:col>
      <xdr:colOff>896470</xdr:colOff>
      <xdr:row>61</xdr:row>
      <xdr:rowOff>78441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43704</xdr:colOff>
      <xdr:row>4</xdr:row>
      <xdr:rowOff>76761</xdr:rowOff>
    </xdr:from>
    <xdr:to>
      <xdr:col>14</xdr:col>
      <xdr:colOff>561976</xdr:colOff>
      <xdr:row>25</xdr:row>
      <xdr:rowOff>36261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25</xdr:row>
      <xdr:rowOff>78439</xdr:rowOff>
    </xdr:from>
    <xdr:to>
      <xdr:col>14</xdr:col>
      <xdr:colOff>565897</xdr:colOff>
      <xdr:row>46</xdr:row>
      <xdr:rowOff>37939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</xdr:colOff>
      <xdr:row>46</xdr:row>
      <xdr:rowOff>122141</xdr:rowOff>
    </xdr:from>
    <xdr:to>
      <xdr:col>14</xdr:col>
      <xdr:colOff>565897</xdr:colOff>
      <xdr:row>67</xdr:row>
      <xdr:rowOff>81641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44823</xdr:colOff>
      <xdr:row>72</xdr:row>
      <xdr:rowOff>44826</xdr:rowOff>
    </xdr:from>
    <xdr:to>
      <xdr:col>14</xdr:col>
      <xdr:colOff>563095</xdr:colOff>
      <xdr:row>93</xdr:row>
      <xdr:rowOff>4326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44824</xdr:colOff>
      <xdr:row>93</xdr:row>
      <xdr:rowOff>44825</xdr:rowOff>
    </xdr:from>
    <xdr:to>
      <xdr:col>14</xdr:col>
      <xdr:colOff>560294</xdr:colOff>
      <xdr:row>114</xdr:row>
      <xdr:rowOff>4325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44823</xdr:colOff>
      <xdr:row>114</xdr:row>
      <xdr:rowOff>44825</xdr:rowOff>
    </xdr:from>
    <xdr:to>
      <xdr:col>14</xdr:col>
      <xdr:colOff>563095</xdr:colOff>
      <xdr:row>133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13</xdr:col>
      <xdr:colOff>134473</xdr:colOff>
      <xdr:row>133</xdr:row>
      <xdr:rowOff>190499</xdr:rowOff>
    </xdr:from>
    <xdr:to>
      <xdr:col>15</xdr:col>
      <xdr:colOff>37977</xdr:colOff>
      <xdr:row>135</xdr:row>
      <xdr:rowOff>6620</xdr:rowOff>
    </xdr:to>
    <xdr:pic>
      <xdr:nvPicPr>
        <xdr:cNvPr id="8" name="Obraz 7" descr="Znalezione obrazy dla zapytania logo viessman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0914" y="26076087"/>
          <a:ext cx="1113739" cy="241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20</xdr:row>
      <xdr:rowOff>96308</xdr:rowOff>
    </xdr:from>
    <xdr:to>
      <xdr:col>11</xdr:col>
      <xdr:colOff>63500</xdr:colOff>
      <xdr:row>41</xdr:row>
      <xdr:rowOff>1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85725</xdr:colOff>
      <xdr:row>3</xdr:row>
      <xdr:rowOff>189443</xdr:rowOff>
    </xdr:from>
    <xdr:to>
      <xdr:col>10</xdr:col>
      <xdr:colOff>589864</xdr:colOff>
      <xdr:row>5</xdr:row>
      <xdr:rowOff>8054</xdr:rowOff>
    </xdr:to>
    <xdr:pic>
      <xdr:nvPicPr>
        <xdr:cNvPr id="3" name="Obraz 2" descr="Znalezione obrazy dla zapytania logo viessman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713318"/>
          <a:ext cx="1113739" cy="247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ios.gov.pl/images/dokumenty/prtr/Poradnik_metodyczny_w_zakresie_PRTR_dla_Instalacji_spalania_paliw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Q50"/>
  <sheetViews>
    <sheetView showGridLines="0" zoomScale="85" zoomScaleNormal="85" workbookViewId="0">
      <selection activeCell="F20" sqref="F20"/>
    </sheetView>
  </sheetViews>
  <sheetFormatPr defaultRowHeight="15" x14ac:dyDescent="0.25"/>
  <cols>
    <col min="1" max="1" width="3.5703125" customWidth="1"/>
    <col min="2" max="2" width="25.42578125" customWidth="1"/>
    <col min="3" max="9" width="13.7109375" customWidth="1"/>
    <col min="10" max="10" width="4.5703125" customWidth="1"/>
    <col min="11" max="16" width="13.7109375" customWidth="1"/>
  </cols>
  <sheetData>
    <row r="2" spans="1:17" ht="23.25" x14ac:dyDescent="0.35">
      <c r="B2" s="128" t="s">
        <v>76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7" x14ac:dyDescent="0.25">
      <c r="B3" s="3" t="s">
        <v>17</v>
      </c>
    </row>
    <row r="5" spans="1:17" x14ac:dyDescent="0.25">
      <c r="A5" s="12"/>
      <c r="B5" s="11" t="s">
        <v>44</v>
      </c>
      <c r="C5" s="11"/>
      <c r="D5" s="137" t="s">
        <v>26</v>
      </c>
      <c r="E5" s="138"/>
      <c r="F5" s="43" t="s">
        <v>10</v>
      </c>
      <c r="G5" s="44" t="s">
        <v>11</v>
      </c>
      <c r="H5" s="46" t="s">
        <v>12</v>
      </c>
      <c r="I5" s="59" t="s">
        <v>15</v>
      </c>
      <c r="J5" s="12"/>
      <c r="K5" s="137" t="s">
        <v>26</v>
      </c>
      <c r="L5" s="138"/>
      <c r="M5" s="43" t="s">
        <v>10</v>
      </c>
      <c r="N5" s="44" t="s">
        <v>11</v>
      </c>
      <c r="O5" s="46" t="s">
        <v>12</v>
      </c>
      <c r="P5" s="59" t="s">
        <v>15</v>
      </c>
      <c r="Q5" s="12"/>
    </row>
    <row r="6" spans="1:17" x14ac:dyDescent="0.25">
      <c r="A6" s="12"/>
      <c r="B6" s="12" t="s">
        <v>47</v>
      </c>
      <c r="C6" t="s">
        <v>45</v>
      </c>
      <c r="D6" s="135">
        <f>26.4/3.6</f>
        <v>7.333333333333333</v>
      </c>
      <c r="E6" s="136"/>
      <c r="F6" s="39">
        <f>18.6/3.6</f>
        <v>5.166666666666667</v>
      </c>
      <c r="G6" s="40">
        <f>42.7/3.6</f>
        <v>11.861111111111112</v>
      </c>
      <c r="H6" s="9"/>
      <c r="I6" s="68"/>
      <c r="J6" s="12"/>
      <c r="K6" s="131" t="s">
        <v>51</v>
      </c>
      <c r="L6" s="133" t="s">
        <v>73</v>
      </c>
      <c r="M6" s="133" t="s">
        <v>52</v>
      </c>
      <c r="N6" s="133" t="s">
        <v>53</v>
      </c>
      <c r="O6" s="133" t="s">
        <v>54</v>
      </c>
      <c r="P6" s="133" t="s">
        <v>54</v>
      </c>
      <c r="Q6" s="12"/>
    </row>
    <row r="7" spans="1:17" x14ac:dyDescent="0.25">
      <c r="A7" s="12"/>
      <c r="B7" s="11" t="s">
        <v>47</v>
      </c>
      <c r="C7" s="11" t="s">
        <v>46</v>
      </c>
      <c r="D7" s="41"/>
      <c r="E7" s="42"/>
      <c r="F7" s="43"/>
      <c r="G7" s="44"/>
      <c r="H7" s="45">
        <f>35/3.6</f>
        <v>9.7222222222222214</v>
      </c>
      <c r="I7" s="69">
        <v>7.0060000000000002</v>
      </c>
      <c r="J7" s="12"/>
      <c r="K7" s="132"/>
      <c r="L7" s="134"/>
      <c r="M7" s="134"/>
      <c r="N7" s="134"/>
      <c r="O7" s="134"/>
      <c r="P7" s="134"/>
      <c r="Q7" s="12"/>
    </row>
    <row r="8" spans="1:17" x14ac:dyDescent="0.25">
      <c r="A8" s="12"/>
      <c r="B8" s="27" t="s">
        <v>48</v>
      </c>
      <c r="D8" s="141" t="s">
        <v>13</v>
      </c>
      <c r="E8" s="142"/>
      <c r="F8" s="7" t="s">
        <v>13</v>
      </c>
      <c r="G8" s="7" t="s">
        <v>13</v>
      </c>
      <c r="H8" s="7" t="s">
        <v>14</v>
      </c>
      <c r="I8" s="8" t="s">
        <v>16</v>
      </c>
      <c r="J8" s="12"/>
      <c r="K8" s="139" t="s">
        <v>50</v>
      </c>
      <c r="L8" s="140"/>
      <c r="M8" s="47" t="s">
        <v>50</v>
      </c>
      <c r="N8" s="48" t="s">
        <v>50</v>
      </c>
      <c r="O8" s="47" t="s">
        <v>50</v>
      </c>
      <c r="P8" s="47" t="s">
        <v>50</v>
      </c>
      <c r="Q8" s="12"/>
    </row>
    <row r="9" spans="1:17" x14ac:dyDescent="0.25">
      <c r="A9" s="12"/>
      <c r="B9" s="12"/>
      <c r="D9" s="8" t="s">
        <v>25</v>
      </c>
      <c r="E9" s="7" t="s">
        <v>49</v>
      </c>
      <c r="F9" s="7" t="s">
        <v>27</v>
      </c>
      <c r="G9" s="7" t="s">
        <v>28</v>
      </c>
      <c r="H9" s="7"/>
      <c r="I9" s="8"/>
      <c r="J9" s="12"/>
      <c r="K9" s="5" t="s">
        <v>25</v>
      </c>
      <c r="L9" s="5" t="s">
        <v>49</v>
      </c>
      <c r="M9" s="7" t="s">
        <v>27</v>
      </c>
      <c r="N9" s="7" t="s">
        <v>28</v>
      </c>
      <c r="O9" s="7"/>
      <c r="P9" s="8"/>
      <c r="Q9" s="12"/>
    </row>
    <row r="10" spans="1:17" x14ac:dyDescent="0.25">
      <c r="A10" s="12"/>
      <c r="B10" s="12"/>
      <c r="D10" s="143" t="s">
        <v>29</v>
      </c>
      <c r="E10" s="144"/>
      <c r="F10" s="10" t="s">
        <v>30</v>
      </c>
      <c r="G10" s="10" t="s">
        <v>29</v>
      </c>
      <c r="H10" s="10" t="s">
        <v>29</v>
      </c>
      <c r="I10" s="50" t="s">
        <v>29</v>
      </c>
      <c r="J10" s="12"/>
      <c r="K10" s="129" t="s">
        <v>29</v>
      </c>
      <c r="L10" s="130"/>
      <c r="M10" s="49" t="s">
        <v>30</v>
      </c>
      <c r="N10" s="10" t="s">
        <v>29</v>
      </c>
      <c r="O10" s="10" t="s">
        <v>29</v>
      </c>
      <c r="P10" s="50" t="s">
        <v>29</v>
      </c>
      <c r="Q10" s="12"/>
    </row>
    <row r="11" spans="1:17" x14ac:dyDescent="0.25">
      <c r="A11" s="12"/>
      <c r="B11" s="19" t="s">
        <v>0</v>
      </c>
      <c r="C11" s="20" t="s">
        <v>1</v>
      </c>
      <c r="D11" s="21" t="s">
        <v>33</v>
      </c>
      <c r="E11" s="21" t="s">
        <v>65</v>
      </c>
      <c r="F11" s="22">
        <v>110</v>
      </c>
      <c r="G11" s="22" t="s">
        <v>68</v>
      </c>
      <c r="H11" s="22" t="s">
        <v>70</v>
      </c>
      <c r="I11" s="21">
        <v>1</v>
      </c>
      <c r="J11" s="12"/>
      <c r="K11" s="66">
        <f>16000*E19/($D$6*1000)/0.5</f>
        <v>5.0181818181818185</v>
      </c>
      <c r="L11" s="35">
        <f>16000*E19/($D$6*1000)/0.72</f>
        <v>3.4848484848484853</v>
      </c>
      <c r="M11" s="35">
        <f>F11/($F$6*1000)/0.85</f>
        <v>2.5047438330170778E-2</v>
      </c>
      <c r="N11" s="35">
        <f>20359.2*E20/($G$6*1000)/0.91</f>
        <v>0.13203588542604935</v>
      </c>
      <c r="O11" s="35">
        <f>(0.002*E21)/($H$7)/0.94</f>
        <v>8.7537993920972651E-6</v>
      </c>
      <c r="P11" s="36">
        <f>I11/277.7777777778/0.94</f>
        <v>3.8297872340422468E-3</v>
      </c>
      <c r="Q11" s="12"/>
    </row>
    <row r="12" spans="1:17" x14ac:dyDescent="0.25">
      <c r="A12" s="12"/>
      <c r="B12" s="19" t="s">
        <v>2</v>
      </c>
      <c r="C12" s="20" t="s">
        <v>3</v>
      </c>
      <c r="D12" s="21">
        <v>2200</v>
      </c>
      <c r="E12" s="22">
        <v>2000</v>
      </c>
      <c r="F12" s="22">
        <v>1000</v>
      </c>
      <c r="G12" s="22">
        <v>2395.1999999999998</v>
      </c>
      <c r="H12" s="22">
        <v>1.52</v>
      </c>
      <c r="I12" s="21">
        <v>60</v>
      </c>
      <c r="J12" s="12"/>
      <c r="K12" s="66">
        <f t="shared" ref="K12:K16" si="0">D12/($D$6*1000)/0.5</f>
        <v>0.6</v>
      </c>
      <c r="L12" s="35">
        <f>E12/($D$6*1000)/0.72</f>
        <v>0.37878787878787884</v>
      </c>
      <c r="M12" s="35">
        <f t="shared" ref="M12:M16" si="1">F12/($F$6*1000)/0.85</f>
        <v>0.22770398481973433</v>
      </c>
      <c r="N12" s="35">
        <f t="shared" ref="N12:N16" si="2">G12/($G$6*1000)/0.91</f>
        <v>0.22190905113621734</v>
      </c>
      <c r="O12" s="35">
        <f t="shared" ref="O12:O16" si="3">H12/($H$7)/0.94</f>
        <v>0.16632218844984803</v>
      </c>
      <c r="P12" s="36">
        <f t="shared" ref="P12:P16" si="4">I12/277.7777777778/0.94</f>
        <v>0.22978723404253484</v>
      </c>
      <c r="Q12" s="12"/>
    </row>
    <row r="13" spans="1:17" x14ac:dyDescent="0.25">
      <c r="A13" s="12"/>
      <c r="B13" s="23" t="s">
        <v>4</v>
      </c>
      <c r="C13" s="24" t="s">
        <v>5</v>
      </c>
      <c r="D13" s="25">
        <v>45000</v>
      </c>
      <c r="E13" s="26">
        <v>70000</v>
      </c>
      <c r="F13" s="26">
        <v>26000</v>
      </c>
      <c r="G13" s="26">
        <v>682.63199999999995</v>
      </c>
      <c r="H13" s="26">
        <v>0.3</v>
      </c>
      <c r="I13" s="25">
        <v>40</v>
      </c>
      <c r="J13" s="12"/>
      <c r="K13" s="66">
        <f t="shared" si="0"/>
        <v>12.272727272727273</v>
      </c>
      <c r="L13" s="35">
        <f>E13/($D$6*1000)/0.72</f>
        <v>13.257575757575758</v>
      </c>
      <c r="M13" s="35">
        <f t="shared" si="1"/>
        <v>5.9203036053130935</v>
      </c>
      <c r="N13" s="35">
        <f t="shared" si="2"/>
        <v>6.3244079573821943E-2</v>
      </c>
      <c r="O13" s="35">
        <f t="shared" si="3"/>
        <v>3.2826747720364743E-2</v>
      </c>
      <c r="P13" s="36">
        <f t="shared" si="4"/>
        <v>0.15319148936168986</v>
      </c>
      <c r="Q13" s="12"/>
    </row>
    <row r="14" spans="1:17" x14ac:dyDescent="0.25">
      <c r="A14" s="12"/>
      <c r="B14" s="19" t="s">
        <v>6</v>
      </c>
      <c r="C14" s="20" t="s">
        <v>7</v>
      </c>
      <c r="D14" s="21">
        <v>1850000</v>
      </c>
      <c r="E14" s="21">
        <v>1850000</v>
      </c>
      <c r="F14" s="22">
        <v>1200000</v>
      </c>
      <c r="G14" s="22">
        <v>3233520</v>
      </c>
      <c r="H14" s="22">
        <v>2000</v>
      </c>
      <c r="I14" s="21">
        <v>64000</v>
      </c>
      <c r="J14" s="12"/>
      <c r="K14" s="66">
        <f t="shared" si="0"/>
        <v>504.54545454545456</v>
      </c>
      <c r="L14" s="35">
        <f>E14/($D$6*1000)/0.72</f>
        <v>350.37878787878788</v>
      </c>
      <c r="M14" s="35">
        <f t="shared" si="1"/>
        <v>273.24478178368122</v>
      </c>
      <c r="N14" s="35">
        <f t="shared" si="2"/>
        <v>299.57721903389341</v>
      </c>
      <c r="O14" s="35">
        <f t="shared" si="3"/>
        <v>218.84498480243164</v>
      </c>
      <c r="P14" s="36">
        <f t="shared" si="4"/>
        <v>245.10638297870381</v>
      </c>
      <c r="Q14" s="12"/>
    </row>
    <row r="15" spans="1:17" x14ac:dyDescent="0.25">
      <c r="A15" s="12"/>
      <c r="B15" s="19" t="s">
        <v>8</v>
      </c>
      <c r="C15" s="20" t="s">
        <v>9</v>
      </c>
      <c r="D15" s="21" t="s">
        <v>66</v>
      </c>
      <c r="E15" s="21" t="s">
        <v>67</v>
      </c>
      <c r="F15" s="22" t="s">
        <v>72</v>
      </c>
      <c r="G15" s="22">
        <v>407.18400000000003</v>
      </c>
      <c r="H15" s="22">
        <v>5.0000000000000001E-4</v>
      </c>
      <c r="I15" s="21">
        <v>0.5</v>
      </c>
      <c r="J15" s="12"/>
      <c r="K15" s="66">
        <f>(1000*E22)/($D$6*1000)/0.5</f>
        <v>2.1818181818181821</v>
      </c>
      <c r="L15" s="35">
        <f>(1500*E22)/($D$6*1000)/0.72</f>
        <v>2.2727272727272729</v>
      </c>
      <c r="M15" s="35">
        <f>1500*E23/($F$6*1000)/0.85</f>
        <v>0.23908918406072105</v>
      </c>
      <c r="N15" s="35">
        <f t="shared" si="2"/>
        <v>3.772453869315695E-2</v>
      </c>
      <c r="O15" s="35">
        <f t="shared" si="3"/>
        <v>5.4711246200607913E-5</v>
      </c>
      <c r="P15" s="36">
        <f t="shared" si="4"/>
        <v>1.9148936170211234E-3</v>
      </c>
      <c r="Q15" s="12"/>
    </row>
    <row r="16" spans="1:17" x14ac:dyDescent="0.25">
      <c r="A16" s="12"/>
      <c r="B16" s="15" t="s">
        <v>31</v>
      </c>
      <c r="C16" s="16" t="s">
        <v>41</v>
      </c>
      <c r="D16" s="18">
        <v>6.0750000000000002</v>
      </c>
      <c r="E16" s="18">
        <v>6.0750000000000002</v>
      </c>
      <c r="F16" s="18">
        <v>3.9060000000000001</v>
      </c>
      <c r="G16" s="18">
        <v>0.31137599999999999</v>
      </c>
      <c r="H16" s="18">
        <v>1.967E-5</v>
      </c>
      <c r="I16" s="17">
        <v>5.6199999999999998E-7</v>
      </c>
      <c r="J16" s="12"/>
      <c r="K16" s="4">
        <f t="shared" si="0"/>
        <v>1.6568181818181818E-3</v>
      </c>
      <c r="L16" s="35">
        <f>E16/($D$6*1000)/0.72</f>
        <v>1.1505681818181819E-3</v>
      </c>
      <c r="M16" s="35">
        <f t="shared" si="1"/>
        <v>8.8941176470588228E-4</v>
      </c>
      <c r="N16" s="35">
        <f t="shared" si="2"/>
        <v>2.8848176647708257E-5</v>
      </c>
      <c r="O16" s="35">
        <f t="shared" si="3"/>
        <v>2.1523404255319148E-6</v>
      </c>
      <c r="P16" s="36">
        <f t="shared" si="4"/>
        <v>2.1523404255317429E-9</v>
      </c>
      <c r="Q16" s="12"/>
    </row>
    <row r="17" spans="2:11" x14ac:dyDescent="0.25">
      <c r="B17" s="12"/>
      <c r="C17" s="4"/>
      <c r="D17" s="146"/>
      <c r="E17" s="146"/>
      <c r="F17" s="6"/>
      <c r="G17" s="6"/>
      <c r="H17" s="6"/>
      <c r="I17" s="6"/>
      <c r="J17" s="12"/>
    </row>
    <row r="18" spans="2:11" x14ac:dyDescent="0.25">
      <c r="B18" s="12"/>
      <c r="C18" s="4"/>
      <c r="D18" s="6"/>
      <c r="E18" s="6"/>
      <c r="F18" s="6"/>
      <c r="G18" s="38"/>
      <c r="H18" s="6"/>
      <c r="I18" s="51"/>
      <c r="K18" s="13" t="s">
        <v>32</v>
      </c>
    </row>
    <row r="19" spans="2:11" x14ac:dyDescent="0.25">
      <c r="B19" s="14" t="s">
        <v>36</v>
      </c>
      <c r="E19" s="163">
        <v>1.1499999999999999</v>
      </c>
      <c r="F19" s="1"/>
      <c r="G19" s="38"/>
      <c r="H19" s="1"/>
      <c r="I19" s="1"/>
    </row>
    <row r="20" spans="2:11" x14ac:dyDescent="0.25">
      <c r="B20" s="14" t="s">
        <v>69</v>
      </c>
      <c r="E20" s="163">
        <v>7.0000000000000007E-2</v>
      </c>
      <c r="F20" s="1"/>
      <c r="H20" s="1"/>
      <c r="I20" s="1"/>
    </row>
    <row r="21" spans="2:11" x14ac:dyDescent="0.25">
      <c r="B21" s="14" t="s">
        <v>35</v>
      </c>
      <c r="E21" s="163">
        <v>0.04</v>
      </c>
      <c r="F21" s="1"/>
      <c r="H21" s="1"/>
      <c r="I21" s="1"/>
    </row>
    <row r="22" spans="2:11" x14ac:dyDescent="0.25">
      <c r="B22" s="14" t="s">
        <v>34</v>
      </c>
      <c r="E22" s="163">
        <v>8</v>
      </c>
      <c r="F22" s="37"/>
      <c r="G22" s="1"/>
      <c r="H22" s="1"/>
      <c r="I22" s="1"/>
    </row>
    <row r="23" spans="2:11" x14ac:dyDescent="0.25">
      <c r="B23" s="14" t="s">
        <v>71</v>
      </c>
      <c r="E23" s="163">
        <v>0.7</v>
      </c>
    </row>
    <row r="24" spans="2:11" x14ac:dyDescent="0.25">
      <c r="B24" s="14"/>
    </row>
    <row r="25" spans="2:11" x14ac:dyDescent="0.25">
      <c r="B25" s="31" t="s">
        <v>39</v>
      </c>
      <c r="C25" s="11"/>
      <c r="D25" s="11"/>
      <c r="E25" s="11"/>
      <c r="F25" s="11"/>
      <c r="G25" s="11"/>
      <c r="H25" s="11"/>
      <c r="I25" s="11"/>
      <c r="J25" s="12"/>
    </row>
    <row r="26" spans="2:11" x14ac:dyDescent="0.25">
      <c r="B26" s="2" t="s">
        <v>21</v>
      </c>
      <c r="J26" s="12"/>
    </row>
    <row r="27" spans="2:11" x14ac:dyDescent="0.25">
      <c r="B27" t="s">
        <v>18</v>
      </c>
      <c r="J27" s="12"/>
    </row>
    <row r="28" spans="2:11" x14ac:dyDescent="0.25">
      <c r="B28" t="s">
        <v>19</v>
      </c>
      <c r="J28" s="12"/>
    </row>
    <row r="29" spans="2:11" x14ac:dyDescent="0.25">
      <c r="B29" t="s">
        <v>20</v>
      </c>
      <c r="J29" s="12"/>
    </row>
    <row r="30" spans="2:11" x14ac:dyDescent="0.25">
      <c r="J30" s="12"/>
    </row>
    <row r="31" spans="2:11" x14ac:dyDescent="0.25">
      <c r="B31" s="31" t="s">
        <v>38</v>
      </c>
      <c r="C31" s="11"/>
      <c r="D31" s="11"/>
      <c r="E31" s="11"/>
      <c r="F31" s="11"/>
      <c r="G31" s="11"/>
      <c r="H31" s="11"/>
      <c r="I31" s="11"/>
      <c r="J31" s="12"/>
    </row>
    <row r="32" spans="2:11" x14ac:dyDescent="0.25">
      <c r="B32" s="2" t="s">
        <v>22</v>
      </c>
    </row>
    <row r="33" spans="2:10" x14ac:dyDescent="0.25">
      <c r="B33" t="s">
        <v>18</v>
      </c>
    </row>
    <row r="34" spans="2:10" x14ac:dyDescent="0.25">
      <c r="B34" t="s">
        <v>19</v>
      </c>
    </row>
    <row r="35" spans="2:10" x14ac:dyDescent="0.25">
      <c r="B35" t="s">
        <v>23</v>
      </c>
    </row>
    <row r="36" spans="2:10" x14ac:dyDescent="0.25">
      <c r="B36" t="s">
        <v>24</v>
      </c>
    </row>
    <row r="38" spans="2:10" ht="23.25" x14ac:dyDescent="0.35">
      <c r="B38" s="128" t="s">
        <v>37</v>
      </c>
      <c r="C38" s="128"/>
      <c r="D38" s="128"/>
      <c r="E38" s="128"/>
      <c r="F38" s="128"/>
      <c r="G38" s="128"/>
      <c r="H38" s="128"/>
      <c r="I38" s="128"/>
    </row>
    <row r="40" spans="2:10" x14ac:dyDescent="0.25">
      <c r="B40" s="145" t="s">
        <v>40</v>
      </c>
      <c r="C40" s="145"/>
      <c r="D40" s="145"/>
      <c r="E40" s="145"/>
      <c r="F40" s="145"/>
      <c r="G40" s="145"/>
      <c r="H40" s="145"/>
      <c r="I40" s="145"/>
    </row>
    <row r="41" spans="2:10" ht="24.75" x14ac:dyDescent="0.25">
      <c r="B41" s="72" t="s">
        <v>75</v>
      </c>
      <c r="C41" s="12"/>
      <c r="D41" s="12"/>
      <c r="E41" s="73"/>
      <c r="F41" s="65"/>
      <c r="G41" s="65"/>
      <c r="H41" s="65"/>
      <c r="I41" s="70" t="s">
        <v>74</v>
      </c>
    </row>
    <row r="42" spans="2:10" x14ac:dyDescent="0.25">
      <c r="B42" s="11" t="s">
        <v>0</v>
      </c>
      <c r="C42" s="11"/>
      <c r="D42" s="67" t="s">
        <v>1</v>
      </c>
      <c r="E42" s="67">
        <v>24307</v>
      </c>
      <c r="F42" s="52" t="s">
        <v>16</v>
      </c>
      <c r="G42" s="28">
        <f>E42/277.77777778*(1-I42)</f>
        <v>5.6003327999551926</v>
      </c>
      <c r="H42" s="28" t="s">
        <v>43</v>
      </c>
      <c r="I42" s="71">
        <v>0.93600000000000005</v>
      </c>
    </row>
    <row r="43" spans="2:10" x14ac:dyDescent="0.25">
      <c r="B43" s="19" t="s">
        <v>2</v>
      </c>
      <c r="C43" s="19"/>
      <c r="D43" s="33" t="s">
        <v>3</v>
      </c>
      <c r="E43" s="33">
        <v>160</v>
      </c>
      <c r="F43" s="66" t="s">
        <v>16</v>
      </c>
      <c r="G43" s="20">
        <f>E43/277.77777778</f>
        <v>0.57599999999539198</v>
      </c>
      <c r="H43" s="20" t="s">
        <v>43</v>
      </c>
      <c r="I43" s="12"/>
      <c r="J43" s="12"/>
    </row>
    <row r="44" spans="2:10" x14ac:dyDescent="0.25">
      <c r="B44" s="23" t="s">
        <v>4</v>
      </c>
      <c r="C44" s="19"/>
      <c r="D44" s="34" t="s">
        <v>5</v>
      </c>
      <c r="E44" s="33">
        <v>195</v>
      </c>
      <c r="F44" s="52" t="s">
        <v>16</v>
      </c>
      <c r="G44" s="20">
        <f>E44/277.77777778</f>
        <v>0.70199999999438401</v>
      </c>
      <c r="H44" s="20" t="s">
        <v>43</v>
      </c>
      <c r="I44" s="12"/>
      <c r="J44" s="12"/>
    </row>
    <row r="45" spans="2:10" x14ac:dyDescent="0.25">
      <c r="B45" s="19" t="s">
        <v>6</v>
      </c>
      <c r="C45" s="19"/>
      <c r="D45" s="33" t="s">
        <v>7</v>
      </c>
      <c r="E45" s="33">
        <v>239</v>
      </c>
      <c r="F45" s="52" t="s">
        <v>42</v>
      </c>
      <c r="G45" s="20">
        <f>E45*1000/277.77777778</f>
        <v>860.39999999311681</v>
      </c>
      <c r="H45" s="20" t="s">
        <v>43</v>
      </c>
      <c r="I45" s="12"/>
      <c r="J45" s="12"/>
    </row>
    <row r="46" spans="2:10" x14ac:dyDescent="0.25">
      <c r="B46" s="19" t="s">
        <v>8</v>
      </c>
      <c r="C46" s="19"/>
      <c r="D46" s="33" t="s">
        <v>9</v>
      </c>
      <c r="E46" s="33">
        <f>(12+80)/2</f>
        <v>46</v>
      </c>
      <c r="F46" s="52" t="s">
        <v>16</v>
      </c>
      <c r="G46" s="20">
        <f>E46/277.77777778</f>
        <v>0.1655999999986752</v>
      </c>
      <c r="H46" s="20" t="s">
        <v>43</v>
      </c>
      <c r="I46" s="12"/>
      <c r="J46" s="12"/>
    </row>
    <row r="47" spans="2:10" x14ac:dyDescent="0.25">
      <c r="B47" s="15" t="s">
        <v>31</v>
      </c>
      <c r="C47" s="15"/>
      <c r="D47" s="36" t="s">
        <v>41</v>
      </c>
      <c r="E47" s="36">
        <f>3.52/1000000</f>
        <v>3.5200000000000002E-6</v>
      </c>
      <c r="F47" s="5" t="s">
        <v>13</v>
      </c>
      <c r="G47" s="16">
        <f>E47/8138</f>
        <v>4.3253870729909072E-10</v>
      </c>
      <c r="H47" s="16" t="s">
        <v>43</v>
      </c>
      <c r="I47" s="12"/>
      <c r="J47" s="12"/>
    </row>
    <row r="48" spans="2:10" x14ac:dyDescent="0.25">
      <c r="B48" s="30"/>
      <c r="C48" s="12"/>
      <c r="D48" s="12"/>
      <c r="E48" s="4"/>
      <c r="F48" s="4"/>
      <c r="G48" s="4"/>
      <c r="H48" s="12"/>
      <c r="I48" s="12"/>
      <c r="J48" s="12"/>
    </row>
    <row r="49" spans="2:9" x14ac:dyDescent="0.25">
      <c r="B49" s="4"/>
      <c r="C49" s="12"/>
      <c r="D49" s="4"/>
      <c r="E49" s="29"/>
      <c r="F49" s="4"/>
      <c r="G49" s="12"/>
      <c r="H49" s="12"/>
      <c r="I49" s="12"/>
    </row>
    <row r="50" spans="2:9" x14ac:dyDescent="0.25">
      <c r="B50" s="12"/>
      <c r="C50" s="12"/>
      <c r="D50" s="12"/>
      <c r="E50" s="12"/>
    </row>
  </sheetData>
  <mergeCells count="17">
    <mergeCell ref="B40:I40"/>
    <mergeCell ref="D17:E17"/>
    <mergeCell ref="B38:I38"/>
    <mergeCell ref="B2:P2"/>
    <mergeCell ref="K10:L10"/>
    <mergeCell ref="K6:K7"/>
    <mergeCell ref="L6:L7"/>
    <mergeCell ref="M6:M7"/>
    <mergeCell ref="N6:N7"/>
    <mergeCell ref="D6:E6"/>
    <mergeCell ref="K5:L5"/>
    <mergeCell ref="K8:L8"/>
    <mergeCell ref="D5:E5"/>
    <mergeCell ref="D8:E8"/>
    <mergeCell ref="D10:E10"/>
    <mergeCell ref="O6:O7"/>
    <mergeCell ref="P6:P7"/>
  </mergeCells>
  <hyperlinks>
    <hyperlink ref="K1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L41"/>
  <sheetViews>
    <sheetView zoomScale="85" zoomScaleNormal="85" workbookViewId="0">
      <selection activeCell="I46" sqref="I46"/>
    </sheetView>
  </sheetViews>
  <sheetFormatPr defaultRowHeight="15" x14ac:dyDescent="0.25"/>
  <cols>
    <col min="2" max="2" width="36.28515625" bestFit="1" customWidth="1"/>
    <col min="3" max="11" width="13.7109375" customWidth="1"/>
  </cols>
  <sheetData>
    <row r="2" spans="1:12" x14ac:dyDescent="0.25">
      <c r="B2" t="s">
        <v>55</v>
      </c>
      <c r="C2">
        <f>Analiza!G7</f>
        <v>139</v>
      </c>
      <c r="D2" t="s">
        <v>58</v>
      </c>
    </row>
    <row r="3" spans="1:12" x14ac:dyDescent="0.25">
      <c r="B3" t="s">
        <v>56</v>
      </c>
      <c r="C3">
        <f>Analiza!G8</f>
        <v>100</v>
      </c>
      <c r="D3" t="s">
        <v>59</v>
      </c>
    </row>
    <row r="4" spans="1:12" x14ac:dyDescent="0.25">
      <c r="B4" t="s">
        <v>57</v>
      </c>
      <c r="C4">
        <f>Analiza!G9</f>
        <v>3</v>
      </c>
      <c r="D4" t="s">
        <v>60</v>
      </c>
    </row>
    <row r="6" spans="1:12" x14ac:dyDescent="0.25">
      <c r="B6" t="s">
        <v>61</v>
      </c>
      <c r="C6">
        <f>Analiza!G11</f>
        <v>13900</v>
      </c>
      <c r="D6" t="s">
        <v>63</v>
      </c>
    </row>
    <row r="7" spans="1:12" x14ac:dyDescent="0.25">
      <c r="B7" t="s">
        <v>62</v>
      </c>
      <c r="C7" s="53">
        <f>Analiza!G12</f>
        <v>2548.7220000000002</v>
      </c>
      <c r="D7" t="s">
        <v>63</v>
      </c>
    </row>
    <row r="8" spans="1:12" x14ac:dyDescent="0.25">
      <c r="B8" t="s">
        <v>64</v>
      </c>
      <c r="C8" s="54">
        <f>Analiza!G13</f>
        <v>16448.722000000002</v>
      </c>
      <c r="D8" t="s">
        <v>63</v>
      </c>
    </row>
    <row r="10" spans="1:12" x14ac:dyDescent="0.25">
      <c r="J10" s="12"/>
    </row>
    <row r="11" spans="1:12" x14ac:dyDescent="0.25">
      <c r="C11" s="12"/>
      <c r="D11" s="137" t="s">
        <v>26</v>
      </c>
      <c r="E11" s="147"/>
      <c r="F11" s="43" t="s">
        <v>10</v>
      </c>
      <c r="G11" s="44" t="s">
        <v>11</v>
      </c>
      <c r="H11" s="46" t="s">
        <v>12</v>
      </c>
      <c r="I11" s="59" t="s">
        <v>15</v>
      </c>
      <c r="J11" s="148" t="s">
        <v>77</v>
      </c>
      <c r="K11" s="148"/>
    </row>
    <row r="12" spans="1:12" x14ac:dyDescent="0.25">
      <c r="D12" s="61" t="s">
        <v>25</v>
      </c>
      <c r="E12" s="62" t="s">
        <v>49</v>
      </c>
      <c r="F12" s="60"/>
      <c r="G12" s="56"/>
      <c r="H12" s="57"/>
      <c r="I12" s="58"/>
      <c r="J12" s="93" t="s">
        <v>78</v>
      </c>
      <c r="K12" s="78" t="s">
        <v>79</v>
      </c>
    </row>
    <row r="13" spans="1:12" x14ac:dyDescent="0.25">
      <c r="D13" s="55"/>
      <c r="E13" s="32"/>
      <c r="F13" s="75"/>
      <c r="G13" s="76"/>
      <c r="H13" s="77"/>
      <c r="I13" s="68"/>
      <c r="J13" s="94">
        <v>3.7</v>
      </c>
      <c r="K13" s="74">
        <v>4.2</v>
      </c>
    </row>
    <row r="14" spans="1:12" x14ac:dyDescent="0.25">
      <c r="D14" s="80" t="str">
        <f t="shared" ref="D14:K14" si="0">"[kg/"&amp;INT($C$8)&amp;"kWh]"</f>
        <v>[kg/16448kWh]</v>
      </c>
      <c r="E14" s="81" t="str">
        <f t="shared" si="0"/>
        <v>[kg/16448kWh]</v>
      </c>
      <c r="F14" s="82" t="str">
        <f t="shared" si="0"/>
        <v>[kg/16448kWh]</v>
      </c>
      <c r="G14" s="83" t="str">
        <f t="shared" si="0"/>
        <v>[kg/16448kWh]</v>
      </c>
      <c r="H14" s="84" t="str">
        <f t="shared" si="0"/>
        <v>[kg/16448kWh]</v>
      </c>
      <c r="I14" s="85" t="str">
        <f t="shared" si="0"/>
        <v>[kg/16448kWh]</v>
      </c>
      <c r="J14" s="79" t="str">
        <f t="shared" si="0"/>
        <v>[kg/16448kWh]</v>
      </c>
      <c r="K14" s="79" t="str">
        <f t="shared" si="0"/>
        <v>[kg/16448kWh]</v>
      </c>
    </row>
    <row r="15" spans="1:12" x14ac:dyDescent="0.25">
      <c r="A15" s="12"/>
      <c r="B15" s="19" t="s">
        <v>0</v>
      </c>
      <c r="C15" s="20" t="s">
        <v>1</v>
      </c>
      <c r="D15" s="63">
        <f>'Wskaźniki emisji'!K11*'Emisja na budynek'!$C$8/1000</f>
        <v>82.54267767272728</v>
      </c>
      <c r="E15" s="63">
        <f>'Wskaźniki emisji'!L11*'Emisja na budynek'!$C$8/1000</f>
        <v>57.321303939393957</v>
      </c>
      <c r="F15" s="63">
        <f>'Wskaźniki emisji'!M11*'Emisja na budynek'!$C$8/1000</f>
        <v>0.41199834990512341</v>
      </c>
      <c r="G15" s="63">
        <f>'Wskaźniki emisji'!N11*'Emisja na budynek'!$C$8/1000</f>
        <v>2.1718215733969379</v>
      </c>
      <c r="H15" s="63">
        <f>'Wskaźniki emisji'!O11*'Emisja na budynek'!$C$8/1000</f>
        <v>1.4398881264437693E-4</v>
      </c>
      <c r="I15" s="63">
        <f>'Wskaźniki emisji'!P11*'Emisja na budynek'!$C$8/1000</f>
        <v>6.2995105531909859E-2</v>
      </c>
      <c r="J15" s="86">
        <f>'Wskaźniki emisji'!G42*'Emisja na budynek'!$C$8/'Emisja na budynek'!$J$13/1000</f>
        <v>24.896842522687724</v>
      </c>
      <c r="K15" s="88">
        <f>'Wskaźniki emisji'!G42*'Emisja na budynek'!$C$8/'Emisja na budynek'!$K$13/1000</f>
        <v>21.932932698558233</v>
      </c>
      <c r="L15" s="12"/>
    </row>
    <row r="16" spans="1:12" x14ac:dyDescent="0.25">
      <c r="A16" s="12"/>
      <c r="B16" s="19" t="s">
        <v>2</v>
      </c>
      <c r="C16" s="20" t="s">
        <v>3</v>
      </c>
      <c r="D16" s="63">
        <f>'Wskaźniki emisji'!K12*'Emisja na budynek'!$C$8/1000</f>
        <v>9.8692332</v>
      </c>
      <c r="E16" s="63">
        <f>'Wskaźniki emisji'!L12*'Emisja na budynek'!$C$8/1000</f>
        <v>6.2305765151515171</v>
      </c>
      <c r="F16" s="63">
        <f>'Wskaźniki emisji'!M12*'Emisja na budynek'!$C$8/1000</f>
        <v>3.7454395445920303</v>
      </c>
      <c r="G16" s="63">
        <f>'Wskaźniki emisji'!N12*'Emisja na budynek'!$C$8/1000</f>
        <v>3.6501202914234234</v>
      </c>
      <c r="H16" s="63">
        <f>'Wskaźniki emisji'!O12*'Emisja na budynek'!$C$8/1000</f>
        <v>2.7357874402431617</v>
      </c>
      <c r="I16" s="63">
        <f>'Wskaźniki emisji'!P12*'Emisja na budynek'!$C$8/1000</f>
        <v>3.7797063319145923</v>
      </c>
      <c r="J16" s="86">
        <f>'Wskaźniki emisji'!G43*'Emisja na budynek'!$C$8/'Emisja na budynek'!$J$13/1000</f>
        <v>2.5606659113308661</v>
      </c>
      <c r="K16" s="88">
        <f>'Wskaźniki emisji'!G43*'Emisja na budynek'!$C$8/'Emisja na budynek'!$K$13/1000</f>
        <v>2.2558247314105246</v>
      </c>
      <c r="L16" s="12"/>
    </row>
    <row r="17" spans="1:12" x14ac:dyDescent="0.25">
      <c r="A17" s="12"/>
      <c r="B17" s="23" t="s">
        <v>4</v>
      </c>
      <c r="C17" s="24" t="s">
        <v>5</v>
      </c>
      <c r="D17" s="63">
        <f>'Wskaźniki emisji'!K13*'Emisja na budynek'!$C$8/1000</f>
        <v>201.87067909090911</v>
      </c>
      <c r="E17" s="63">
        <f>'Wskaźniki emisji'!L13*'Emisja na budynek'!$C$8/1000</f>
        <v>218.07017803030305</v>
      </c>
      <c r="F17" s="63">
        <f>'Wskaźniki emisji'!M13*'Emisja na budynek'!$C$8/1000</f>
        <v>97.381428159392797</v>
      </c>
      <c r="G17" s="63">
        <f>'Wskaźniki emisji'!N13*'Emisja na budynek'!$C$8/1000</f>
        <v>1.0402842830556758</v>
      </c>
      <c r="H17" s="63">
        <f>'Wskaźniki emisji'!O13*'Emisja na budynek'!$C$8/1000</f>
        <v>0.53995804741641351</v>
      </c>
      <c r="I17" s="63">
        <f>'Wskaźniki emisji'!P13*'Emisja na budynek'!$C$8/1000</f>
        <v>2.5198042212763943</v>
      </c>
      <c r="J17" s="86">
        <f>'Wskaźniki emisji'!G44*'Emisja na budynek'!$C$8/'Emisja na budynek'!$J$13/1000</f>
        <v>3.1208115794344931</v>
      </c>
      <c r="K17" s="88">
        <f>'Wskaźniki emisji'!G44*'Emisja na budynek'!$C$8/'Emisja na budynek'!$K$13/1000</f>
        <v>2.7492863914065775</v>
      </c>
      <c r="L17" s="12"/>
    </row>
    <row r="18" spans="1:12" x14ac:dyDescent="0.25">
      <c r="A18" s="12"/>
      <c r="B18" s="19" t="s">
        <v>6</v>
      </c>
      <c r="C18" s="20" t="s">
        <v>7</v>
      </c>
      <c r="D18" s="63">
        <f>'Wskaźniki emisji'!K14*'Emisja na budynek'!$C$8/1000</f>
        <v>8299.127918181819</v>
      </c>
      <c r="E18" s="63">
        <f>'Wskaźniki emisji'!L14*'Emisja na budynek'!$C$8/1000</f>
        <v>5763.2832765151525</v>
      </c>
      <c r="F18" s="63">
        <f>'Wskaźniki emisji'!M14*'Emisja na budynek'!$C$8/1000</f>
        <v>4494.5274535104372</v>
      </c>
      <c r="G18" s="63">
        <f>'Wskaźniki emisji'!N14*'Emisja na budynek'!$C$8/1000</f>
        <v>4927.6623934216223</v>
      </c>
      <c r="H18" s="63">
        <f>'Wskaźniki emisji'!O14*'Emisja na budynek'!$C$8/1000</f>
        <v>3599.7203161094235</v>
      </c>
      <c r="I18" s="63">
        <f>'Wskaźniki emisji'!P14*'Emisja na budynek'!$C$8/1000</f>
        <v>4031.6867540422309</v>
      </c>
      <c r="J18" s="86">
        <f>'Wskaźniki emisji'!G45*'Emisja na budynek'!$C$8/'Emisja na budynek'!$J$13/1000</f>
        <v>3824.9947050504811</v>
      </c>
      <c r="K18" s="88">
        <f>'Wskaźniki emisji'!G45*'Emisja na budynek'!$C$8/'Emisja na budynek'!$K$13/1000</f>
        <v>3369.6381925444716</v>
      </c>
      <c r="L18" s="12"/>
    </row>
    <row r="19" spans="1:12" x14ac:dyDescent="0.25">
      <c r="A19" s="12"/>
      <c r="B19" s="19" t="s">
        <v>8</v>
      </c>
      <c r="C19" s="20" t="s">
        <v>9</v>
      </c>
      <c r="D19" s="63">
        <f>'Wskaźniki emisji'!K15*'Emisja na budynek'!$C$8/1000</f>
        <v>35.888120727272735</v>
      </c>
      <c r="E19" s="63">
        <f>'Wskaźniki emisji'!L15*'Emisja na budynek'!$C$8/1000</f>
        <v>37.383459090909099</v>
      </c>
      <c r="F19" s="63">
        <f>'Wskaźniki emisji'!M15*'Emisja na budynek'!$C$8/1000</f>
        <v>3.9327115218216324</v>
      </c>
      <c r="G19" s="63">
        <f>'Wskaźniki emisji'!N15*'Emisja na budynek'!$C$8/1000</f>
        <v>0.62052044954198204</v>
      </c>
      <c r="H19" s="63">
        <f>'Wskaźniki emisji'!O15*'Emisja na budynek'!$C$8/1000</f>
        <v>8.9993007902735591E-4</v>
      </c>
      <c r="I19" s="63">
        <f>'Wskaźniki emisji'!P15*'Emisja na budynek'!$C$8/1000</f>
        <v>3.149755276595493E-2</v>
      </c>
      <c r="J19" s="86">
        <f>'Wskaźniki emisji'!G46*'Emisja na budynek'!$C$8/'Emisja na budynek'!$J$13/1000</f>
        <v>0.73619144950762405</v>
      </c>
      <c r="K19" s="88">
        <f>'Wskaźniki emisji'!G46*'Emisja na budynek'!$C$8/'Emisja na budynek'!$K$13/1000</f>
        <v>0.64854961028052593</v>
      </c>
      <c r="L19" s="12"/>
    </row>
    <row r="20" spans="1:12" x14ac:dyDescent="0.25">
      <c r="A20" s="12"/>
      <c r="B20" s="15" t="s">
        <v>31</v>
      </c>
      <c r="C20" s="16" t="s">
        <v>41</v>
      </c>
      <c r="D20" s="64">
        <f>'Wskaźniki emisji'!K16*'Emisja na budynek'!$C$8/1000</f>
        <v>2.7252541677272733E-2</v>
      </c>
      <c r="E20" s="64">
        <f>'Wskaźniki emisji'!L16*'Emisja na budynek'!$C$8/1000</f>
        <v>1.8925376164772727E-2</v>
      </c>
      <c r="F20" s="64">
        <f>'Wskaźniki emisji'!M16*'Emisja na budynek'!$C$8/1000</f>
        <v>1.462968686117647E-2</v>
      </c>
      <c r="G20" s="64">
        <f>'Wskaźniki emisji'!N16*'Emisja na budynek'!$C$8/1000</f>
        <v>4.7451563788504508E-4</v>
      </c>
      <c r="H20" s="64">
        <f>'Wskaźniki emisji'!O16*'Emisja na budynek'!$C$8/1000</f>
        <v>3.5403249308936173E-5</v>
      </c>
      <c r="I20" s="64">
        <f>'Wskaźniki emisji'!P16*'Emisja na budynek'!$C$8/1000</f>
        <v>3.540324930893335E-8</v>
      </c>
      <c r="J20" s="87">
        <f>'Wskaźniki emisji'!G47*'Emisja na budynek'!$C$8/'Emisja na budynek'!$J$13/1000</f>
        <v>1.9228943109735442E-9</v>
      </c>
      <c r="K20" s="89">
        <f>'Wskaźniki emisji'!G47*'Emisja na budynek'!$C$8/'Emisja na budynek'!$K$13/1000</f>
        <v>1.693978321571932E-9</v>
      </c>
      <c r="L20" s="12"/>
    </row>
    <row r="21" spans="1:12" x14ac:dyDescent="0.25">
      <c r="D21" s="12"/>
      <c r="E21" s="12"/>
      <c r="F21" s="12"/>
      <c r="G21" s="12"/>
      <c r="H21" s="12"/>
      <c r="I21" s="12"/>
      <c r="J21" s="12"/>
      <c r="K21" s="12"/>
    </row>
    <row r="22" spans="1:12" x14ac:dyDescent="0.25">
      <c r="D22" s="98" t="str">
        <f t="shared" ref="D22:K22" si="1">D23</f>
        <v>Węgiel kamienny ciąg naturalny</v>
      </c>
      <c r="E22" s="98" t="str">
        <f t="shared" si="1"/>
        <v>Węgiel kamienny ciąg sztuczny</v>
      </c>
      <c r="F22" s="98" t="str">
        <f t="shared" si="1"/>
        <v>Drewno</v>
      </c>
      <c r="G22" s="98" t="str">
        <f t="shared" si="1"/>
        <v>Olej opałowy</v>
      </c>
      <c r="H22" s="98" t="str">
        <f t="shared" si="1"/>
        <v>Gaz ziemny</v>
      </c>
      <c r="I22" s="98" t="str">
        <f t="shared" si="1"/>
        <v>Propan</v>
      </c>
      <c r="J22" s="98" t="str">
        <f t="shared" si="1"/>
        <v>Pompa ciepła powietrze/woda</v>
      </c>
      <c r="K22" s="98" t="str">
        <f t="shared" si="1"/>
        <v>Pompa ciepła grunt/woda</v>
      </c>
    </row>
    <row r="23" spans="1:12" ht="15" customHeight="1" x14ac:dyDescent="0.25">
      <c r="C23" s="12"/>
      <c r="D23" s="149" t="s">
        <v>80</v>
      </c>
      <c r="E23" s="150" t="s">
        <v>81</v>
      </c>
      <c r="F23" s="151" t="s">
        <v>10</v>
      </c>
      <c r="G23" s="152" t="s">
        <v>11</v>
      </c>
      <c r="H23" s="153" t="s">
        <v>12</v>
      </c>
      <c r="I23" s="154" t="s">
        <v>15</v>
      </c>
      <c r="J23" s="155" t="s">
        <v>82</v>
      </c>
      <c r="K23" s="155" t="s">
        <v>83</v>
      </c>
    </row>
    <row r="24" spans="1:12" x14ac:dyDescent="0.25">
      <c r="D24" s="149"/>
      <c r="E24" s="150"/>
      <c r="F24" s="151"/>
      <c r="G24" s="152"/>
      <c r="H24" s="153"/>
      <c r="I24" s="154"/>
      <c r="J24" s="155"/>
      <c r="K24" s="155"/>
    </row>
    <row r="25" spans="1:12" x14ac:dyDescent="0.25">
      <c r="D25" s="55"/>
      <c r="E25" s="55"/>
      <c r="F25" s="75"/>
      <c r="G25" s="76"/>
      <c r="H25" s="77"/>
      <c r="I25" s="68"/>
      <c r="J25" s="74" t="str">
        <f>"COP = "&amp;J13</f>
        <v>COP = 3,7</v>
      </c>
      <c r="K25" s="74" t="str">
        <f>"COP = "&amp;K13</f>
        <v>COP = 4,2</v>
      </c>
    </row>
    <row r="26" spans="1:12" x14ac:dyDescent="0.25">
      <c r="D26" s="80" t="s">
        <v>84</v>
      </c>
      <c r="E26" s="80" t="s">
        <v>84</v>
      </c>
      <c r="F26" s="82" t="s">
        <v>84</v>
      </c>
      <c r="G26" s="83" t="s">
        <v>84</v>
      </c>
      <c r="H26" s="84" t="s">
        <v>84</v>
      </c>
      <c r="I26" s="85" t="s">
        <v>84</v>
      </c>
      <c r="J26" s="92" t="s">
        <v>84</v>
      </c>
      <c r="K26" s="90" t="s">
        <v>84</v>
      </c>
    </row>
    <row r="27" spans="1:12" x14ac:dyDescent="0.25">
      <c r="B27" s="19" t="s">
        <v>0</v>
      </c>
      <c r="C27" s="20" t="s">
        <v>1</v>
      </c>
      <c r="D27" s="63">
        <f>D15</f>
        <v>82.54267767272728</v>
      </c>
      <c r="E27" s="63">
        <f t="shared" ref="E27:K27" si="2">E15</f>
        <v>57.321303939393957</v>
      </c>
      <c r="F27" s="63">
        <f t="shared" si="2"/>
        <v>0.41199834990512341</v>
      </c>
      <c r="G27" s="63">
        <f t="shared" si="2"/>
        <v>2.1718215733969379</v>
      </c>
      <c r="H27" s="63">
        <f t="shared" si="2"/>
        <v>1.4398881264437693E-4</v>
      </c>
      <c r="I27" s="63">
        <f t="shared" si="2"/>
        <v>6.2995105531909859E-2</v>
      </c>
      <c r="J27" s="91">
        <f t="shared" si="2"/>
        <v>24.896842522687724</v>
      </c>
      <c r="K27" s="63">
        <f t="shared" si="2"/>
        <v>21.932932698558233</v>
      </c>
    </row>
    <row r="28" spans="1:12" x14ac:dyDescent="0.25">
      <c r="B28" s="19" t="s">
        <v>2</v>
      </c>
      <c r="C28" s="20" t="s">
        <v>3</v>
      </c>
      <c r="D28" s="63">
        <f t="shared" ref="D28:K32" si="3">D16</f>
        <v>9.8692332</v>
      </c>
      <c r="E28" s="63">
        <f t="shared" si="3"/>
        <v>6.2305765151515171</v>
      </c>
      <c r="F28" s="63">
        <f t="shared" si="3"/>
        <v>3.7454395445920303</v>
      </c>
      <c r="G28" s="63">
        <f t="shared" si="3"/>
        <v>3.6501202914234234</v>
      </c>
      <c r="H28" s="63">
        <f t="shared" si="3"/>
        <v>2.7357874402431617</v>
      </c>
      <c r="I28" s="63">
        <f t="shared" si="3"/>
        <v>3.7797063319145923</v>
      </c>
      <c r="J28" s="63">
        <f t="shared" si="3"/>
        <v>2.5606659113308661</v>
      </c>
      <c r="K28" s="63">
        <f t="shared" si="3"/>
        <v>2.2558247314105246</v>
      </c>
    </row>
    <row r="29" spans="1:12" x14ac:dyDescent="0.25">
      <c r="B29" s="23" t="s">
        <v>4</v>
      </c>
      <c r="C29" s="24" t="s">
        <v>5</v>
      </c>
      <c r="D29" s="63">
        <f t="shared" si="3"/>
        <v>201.87067909090911</v>
      </c>
      <c r="E29" s="63">
        <f t="shared" si="3"/>
        <v>218.07017803030305</v>
      </c>
      <c r="F29" s="63">
        <f t="shared" si="3"/>
        <v>97.381428159392797</v>
      </c>
      <c r="G29" s="63">
        <f t="shared" si="3"/>
        <v>1.0402842830556758</v>
      </c>
      <c r="H29" s="63">
        <f t="shared" si="3"/>
        <v>0.53995804741641351</v>
      </c>
      <c r="I29" s="63">
        <f t="shared" si="3"/>
        <v>2.5198042212763943</v>
      </c>
      <c r="J29" s="63">
        <f t="shared" si="3"/>
        <v>3.1208115794344931</v>
      </c>
      <c r="K29" s="63">
        <f t="shared" si="3"/>
        <v>2.7492863914065775</v>
      </c>
    </row>
    <row r="30" spans="1:12" x14ac:dyDescent="0.25">
      <c r="B30" s="19" t="s">
        <v>6</v>
      </c>
      <c r="C30" s="20" t="s">
        <v>7</v>
      </c>
      <c r="D30" s="63">
        <f t="shared" si="3"/>
        <v>8299.127918181819</v>
      </c>
      <c r="E30" s="63">
        <f t="shared" si="3"/>
        <v>5763.2832765151525</v>
      </c>
      <c r="F30" s="63">
        <f t="shared" si="3"/>
        <v>4494.5274535104372</v>
      </c>
      <c r="G30" s="63">
        <f t="shared" si="3"/>
        <v>4927.6623934216223</v>
      </c>
      <c r="H30" s="63">
        <f t="shared" si="3"/>
        <v>3599.7203161094235</v>
      </c>
      <c r="I30" s="63">
        <f t="shared" si="3"/>
        <v>4031.6867540422309</v>
      </c>
      <c r="J30" s="63">
        <f t="shared" si="3"/>
        <v>3824.9947050504811</v>
      </c>
      <c r="K30" s="63">
        <f t="shared" si="3"/>
        <v>3369.6381925444716</v>
      </c>
    </row>
    <row r="31" spans="1:12" x14ac:dyDescent="0.25">
      <c r="B31" s="19" t="s">
        <v>85</v>
      </c>
      <c r="C31" s="20" t="s">
        <v>9</v>
      </c>
      <c r="D31" s="63">
        <f t="shared" si="3"/>
        <v>35.888120727272735</v>
      </c>
      <c r="E31" s="63">
        <f t="shared" si="3"/>
        <v>37.383459090909099</v>
      </c>
      <c r="F31" s="63">
        <f t="shared" si="3"/>
        <v>3.9327115218216324</v>
      </c>
      <c r="G31" s="63">
        <f t="shared" si="3"/>
        <v>0.62052044954198204</v>
      </c>
      <c r="H31" s="63">
        <f t="shared" si="3"/>
        <v>8.9993007902735591E-4</v>
      </c>
      <c r="I31" s="63">
        <f t="shared" si="3"/>
        <v>3.149755276595493E-2</v>
      </c>
      <c r="J31" s="63">
        <f t="shared" si="3"/>
        <v>0.73619144950762405</v>
      </c>
      <c r="K31" s="63">
        <f t="shared" si="3"/>
        <v>0.64854961028052593</v>
      </c>
    </row>
    <row r="32" spans="1:12" x14ac:dyDescent="0.25">
      <c r="B32" s="15" t="s">
        <v>31</v>
      </c>
      <c r="C32" s="16" t="s">
        <v>41</v>
      </c>
      <c r="D32" s="63">
        <f t="shared" si="3"/>
        <v>2.7252541677272733E-2</v>
      </c>
      <c r="E32" s="63">
        <f t="shared" si="3"/>
        <v>1.8925376164772727E-2</v>
      </c>
      <c r="F32" s="63">
        <f t="shared" si="3"/>
        <v>1.462968686117647E-2</v>
      </c>
      <c r="G32" s="63">
        <f t="shared" si="3"/>
        <v>4.7451563788504508E-4</v>
      </c>
      <c r="H32" s="63">
        <f t="shared" si="3"/>
        <v>3.5403249308936173E-5</v>
      </c>
      <c r="I32" s="63">
        <f t="shared" si="3"/>
        <v>3.540324930893335E-8</v>
      </c>
      <c r="J32" s="63">
        <f t="shared" si="3"/>
        <v>1.9228943109735442E-9</v>
      </c>
      <c r="K32" s="63">
        <f t="shared" si="3"/>
        <v>1.693978321571932E-9</v>
      </c>
    </row>
    <row r="35" spans="2:11" ht="36" x14ac:dyDescent="0.25">
      <c r="D35" s="102" t="str">
        <f>Analiza!C17</f>
        <v>Węgiel kamienny ciąg sztuczny</v>
      </c>
      <c r="E35" s="103" t="str">
        <f>Analiza!H17</f>
        <v>Pompa ciepła grunt/woda</v>
      </c>
      <c r="F35" s="101" t="s">
        <v>93</v>
      </c>
      <c r="G35" s="99"/>
      <c r="H35" s="99"/>
      <c r="I35" s="99"/>
      <c r="J35" s="99"/>
      <c r="K35" s="99"/>
    </row>
    <row r="36" spans="2:11" x14ac:dyDescent="0.25">
      <c r="B36" s="19" t="s">
        <v>0</v>
      </c>
      <c r="C36" s="20" t="s">
        <v>1</v>
      </c>
      <c r="D36" s="63">
        <f>HLOOKUP($D$35,emisja2,6,FALSE)</f>
        <v>57.321303939393957</v>
      </c>
      <c r="E36" s="63">
        <f>HLOOKUP($E$35,emisja2,6,FALSE)</f>
        <v>21.932932698558233</v>
      </c>
      <c r="F36" s="104">
        <f>D36-E36</f>
        <v>35.388371240835724</v>
      </c>
      <c r="G36" s="100" t="s">
        <v>84</v>
      </c>
      <c r="H36" s="100"/>
      <c r="I36" s="100"/>
      <c r="J36" s="100"/>
      <c r="K36" s="100"/>
    </row>
    <row r="37" spans="2:11" x14ac:dyDescent="0.25">
      <c r="B37" s="19" t="s">
        <v>2</v>
      </c>
      <c r="C37" s="20" t="s">
        <v>3</v>
      </c>
      <c r="D37" s="63">
        <f>HLOOKUP($D$35,emisja2,7,FALSE)</f>
        <v>6.2305765151515171</v>
      </c>
      <c r="E37" s="63">
        <f>HLOOKUP($E$35,emisja2,7,FALSE)</f>
        <v>2.2558247314105246</v>
      </c>
      <c r="F37" s="104">
        <f t="shared" ref="F37:F40" si="4">D37-E37</f>
        <v>3.9747517837409925</v>
      </c>
      <c r="G37" s="100" t="s">
        <v>84</v>
      </c>
      <c r="H37" s="100"/>
      <c r="I37" s="100"/>
      <c r="J37" s="100"/>
      <c r="K37" s="100"/>
    </row>
    <row r="38" spans="2:11" x14ac:dyDescent="0.25">
      <c r="B38" s="23" t="s">
        <v>4</v>
      </c>
      <c r="C38" s="24" t="s">
        <v>5</v>
      </c>
      <c r="D38" s="63">
        <f>HLOOKUP($D$35,emisja2,8,FALSE)</f>
        <v>218.07017803030305</v>
      </c>
      <c r="E38" s="63">
        <f>HLOOKUP($E$35,emisja2,8,FALSE)</f>
        <v>2.7492863914065775</v>
      </c>
      <c r="F38" s="104">
        <f t="shared" si="4"/>
        <v>215.32089163889648</v>
      </c>
      <c r="G38" s="100" t="s">
        <v>84</v>
      </c>
      <c r="H38" s="100"/>
      <c r="I38" s="100"/>
      <c r="J38" s="100"/>
      <c r="K38" s="100"/>
    </row>
    <row r="39" spans="2:11" x14ac:dyDescent="0.25">
      <c r="B39" s="19" t="s">
        <v>6</v>
      </c>
      <c r="C39" s="20" t="s">
        <v>7</v>
      </c>
      <c r="D39" s="63">
        <f>HLOOKUP($D$35,emisja2,9,FALSE)</f>
        <v>5763.2832765151525</v>
      </c>
      <c r="E39" s="63">
        <f>HLOOKUP($E$35,emisja2,9,FALSE)</f>
        <v>3369.6381925444716</v>
      </c>
      <c r="F39" s="104">
        <f t="shared" si="4"/>
        <v>2393.6450839706808</v>
      </c>
      <c r="G39" s="100" t="s">
        <v>84</v>
      </c>
      <c r="H39" s="100"/>
      <c r="I39" s="100"/>
      <c r="J39" s="100"/>
      <c r="K39" s="100"/>
    </row>
    <row r="40" spans="2:11" x14ac:dyDescent="0.25">
      <c r="B40" s="19" t="s">
        <v>85</v>
      </c>
      <c r="C40" s="20" t="s">
        <v>9</v>
      </c>
      <c r="D40" s="63">
        <f>HLOOKUP($D$35,emisja2,10,FALSE)</f>
        <v>37.383459090909099</v>
      </c>
      <c r="E40" s="63">
        <f>HLOOKUP($E$35,emisja2,10,FALSE)</f>
        <v>0.64854961028052593</v>
      </c>
      <c r="F40" s="104">
        <f t="shared" si="4"/>
        <v>36.734909480628573</v>
      </c>
      <c r="G40" s="100" t="s">
        <v>84</v>
      </c>
      <c r="H40" s="100"/>
      <c r="I40" s="100"/>
      <c r="J40" s="100"/>
      <c r="K40" s="100"/>
    </row>
    <row r="41" spans="2:11" x14ac:dyDescent="0.25">
      <c r="B41" s="15" t="s">
        <v>31</v>
      </c>
      <c r="C41" s="16" t="s">
        <v>41</v>
      </c>
      <c r="D41" s="63">
        <f>HLOOKUP($D$35,emisja2,11,FALSE)</f>
        <v>1.8925376164772727E-2</v>
      </c>
      <c r="E41" s="63">
        <f>HLOOKUP($E$35,emisja2,11,FALSE)</f>
        <v>1.693978321571932E-9</v>
      </c>
      <c r="F41" s="104">
        <f>D41-E41</f>
        <v>1.8925374470794405E-2</v>
      </c>
      <c r="G41" s="100" t="s">
        <v>84</v>
      </c>
      <c r="H41" s="100"/>
      <c r="I41" s="100"/>
      <c r="J41" s="100"/>
      <c r="K41" s="100"/>
    </row>
  </sheetData>
  <mergeCells count="10">
    <mergeCell ref="D11:E11"/>
    <mergeCell ref="J11:K11"/>
    <mergeCell ref="D23:D24"/>
    <mergeCell ref="E23:E24"/>
    <mergeCell ref="F23:F24"/>
    <mergeCell ref="G23:G24"/>
    <mergeCell ref="H23:H24"/>
    <mergeCell ref="I23:I24"/>
    <mergeCell ref="J23:J24"/>
    <mergeCell ref="K23:K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P143"/>
  <sheetViews>
    <sheetView showGridLines="0" tabSelected="1" zoomScale="85" zoomScaleNormal="85" workbookViewId="0">
      <selection activeCell="Q4" sqref="Q4"/>
    </sheetView>
  </sheetViews>
  <sheetFormatPr defaultRowHeight="15" x14ac:dyDescent="0.25"/>
  <cols>
    <col min="1" max="1" width="1.42578125" style="117" customWidth="1"/>
    <col min="2" max="2" width="2.7109375" style="117" customWidth="1"/>
    <col min="3" max="3" width="9.140625" style="117" customWidth="1"/>
    <col min="4" max="15" width="9.140625" style="117"/>
    <col min="16" max="16" width="2.7109375" style="117" customWidth="1"/>
    <col min="17" max="16384" width="9.140625" style="117"/>
  </cols>
  <sheetData>
    <row r="1" spans="2:16" ht="6.75" customHeight="1" x14ac:dyDescent="0.25"/>
    <row r="2" spans="2:16" x14ac:dyDescent="0.2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16" ht="21" x14ac:dyDescent="0.35">
      <c r="B3" s="116"/>
      <c r="C3" s="156" t="s">
        <v>86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16"/>
    </row>
    <row r="4" spans="2:16" x14ac:dyDescent="0.2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2:16" x14ac:dyDescent="0.2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2:16" x14ac:dyDescent="0.25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2:16" x14ac:dyDescent="0.2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2:16" x14ac:dyDescent="0.25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2:16" x14ac:dyDescent="0.2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2:16" x14ac:dyDescent="0.25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2:16" x14ac:dyDescent="0.25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2:16" x14ac:dyDescent="0.25"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  <row r="13" spans="2:16" x14ac:dyDescent="0.25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2:16" x14ac:dyDescent="0.25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2:16" x14ac:dyDescent="0.25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2:16" x14ac:dyDescent="0.25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2:16" x14ac:dyDescent="0.25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2:16" x14ac:dyDescent="0.25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2:16" x14ac:dyDescent="0.25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2:16" x14ac:dyDescent="0.25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</row>
    <row r="21" spans="2:16" x14ac:dyDescent="0.25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2:16" x14ac:dyDescent="0.25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2:16" x14ac:dyDescent="0.2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24" spans="2:16" x14ac:dyDescent="0.25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2:16" x14ac:dyDescent="0.25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2:16" x14ac:dyDescent="0.25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2:16" x14ac:dyDescent="0.2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2:16" x14ac:dyDescent="0.2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2:16" x14ac:dyDescent="0.2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2:16" x14ac:dyDescent="0.25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</row>
    <row r="31" spans="2:16" x14ac:dyDescent="0.2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</row>
    <row r="32" spans="2:16" x14ac:dyDescent="0.2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</row>
    <row r="33" spans="2:16" x14ac:dyDescent="0.25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2:16" x14ac:dyDescent="0.25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pans="2:16" x14ac:dyDescent="0.2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  <row r="36" spans="2:16" x14ac:dyDescent="0.2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  <row r="37" spans="2:16" x14ac:dyDescent="0.2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</row>
    <row r="38" spans="2:16" x14ac:dyDescent="0.25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</row>
    <row r="39" spans="2:16" x14ac:dyDescent="0.25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</row>
    <row r="40" spans="2:16" x14ac:dyDescent="0.25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1" spans="2:16" x14ac:dyDescent="0.25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</row>
    <row r="42" spans="2:16" x14ac:dyDescent="0.2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</row>
    <row r="43" spans="2:16" x14ac:dyDescent="0.2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</row>
    <row r="44" spans="2:16" x14ac:dyDescent="0.2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</row>
    <row r="45" spans="2:16" x14ac:dyDescent="0.25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</row>
    <row r="46" spans="2:16" x14ac:dyDescent="0.2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</row>
    <row r="47" spans="2:16" x14ac:dyDescent="0.2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</row>
    <row r="48" spans="2:16" x14ac:dyDescent="0.2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</row>
    <row r="49" spans="2:16" x14ac:dyDescent="0.2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</row>
    <row r="50" spans="2:16" x14ac:dyDescent="0.2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</row>
    <row r="51" spans="2:16" x14ac:dyDescent="0.2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2:16" x14ac:dyDescent="0.2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</row>
    <row r="53" spans="2:16" x14ac:dyDescent="0.25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</row>
    <row r="54" spans="2:16" x14ac:dyDescent="0.2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2:16" x14ac:dyDescent="0.2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  <row r="56" spans="2:16" x14ac:dyDescent="0.2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</row>
    <row r="57" spans="2:16" x14ac:dyDescent="0.2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</row>
    <row r="58" spans="2:16" x14ac:dyDescent="0.2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</row>
    <row r="59" spans="2:16" x14ac:dyDescent="0.2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</row>
    <row r="60" spans="2:16" x14ac:dyDescent="0.2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</row>
    <row r="61" spans="2:16" x14ac:dyDescent="0.2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</row>
    <row r="62" spans="2:16" x14ac:dyDescent="0.2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</row>
    <row r="63" spans="2:16" x14ac:dyDescent="0.2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</row>
    <row r="64" spans="2:16" x14ac:dyDescent="0.2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</row>
    <row r="65" spans="2:16" x14ac:dyDescent="0.25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</row>
    <row r="66" spans="2:16" x14ac:dyDescent="0.25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</row>
    <row r="67" spans="2:16" x14ac:dyDescent="0.25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</row>
    <row r="68" spans="2:16" x14ac:dyDescent="0.2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</row>
    <row r="69" spans="2:16" x14ac:dyDescent="0.2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</row>
    <row r="70" spans="2:16" x14ac:dyDescent="0.2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</row>
    <row r="71" spans="2:16" x14ac:dyDescent="0.2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</row>
    <row r="72" spans="2:16" x14ac:dyDescent="0.2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</row>
    <row r="73" spans="2:16" x14ac:dyDescent="0.2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</row>
    <row r="74" spans="2:16" x14ac:dyDescent="0.25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</row>
    <row r="75" spans="2:16" x14ac:dyDescent="0.2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</row>
    <row r="76" spans="2:16" x14ac:dyDescent="0.2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</row>
    <row r="77" spans="2:16" x14ac:dyDescent="0.25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</row>
    <row r="78" spans="2:16" x14ac:dyDescent="0.2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</row>
    <row r="79" spans="2:16" x14ac:dyDescent="0.2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</row>
    <row r="80" spans="2:16" x14ac:dyDescent="0.25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2:16" x14ac:dyDescent="0.2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</row>
    <row r="82" spans="2:16" x14ac:dyDescent="0.2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  <row r="83" spans="2:16" x14ac:dyDescent="0.2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</row>
    <row r="84" spans="2:16" x14ac:dyDescent="0.2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</row>
    <row r="85" spans="2:16" x14ac:dyDescent="0.2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2:16" x14ac:dyDescent="0.2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</row>
    <row r="87" spans="2:16" x14ac:dyDescent="0.2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</row>
    <row r="88" spans="2:16" x14ac:dyDescent="0.2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</row>
    <row r="89" spans="2:16" x14ac:dyDescent="0.2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</row>
    <row r="90" spans="2:16" x14ac:dyDescent="0.2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</row>
    <row r="91" spans="2:16" x14ac:dyDescent="0.2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</row>
    <row r="92" spans="2:16" x14ac:dyDescent="0.2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</row>
    <row r="93" spans="2:16" x14ac:dyDescent="0.2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</row>
    <row r="94" spans="2:16" x14ac:dyDescent="0.2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</row>
    <row r="95" spans="2:16" x14ac:dyDescent="0.2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</row>
    <row r="96" spans="2:16" x14ac:dyDescent="0.2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</row>
    <row r="97" spans="2:16" x14ac:dyDescent="0.2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2:16" x14ac:dyDescent="0.2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2:16" x14ac:dyDescent="0.2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</row>
    <row r="100" spans="2:16" x14ac:dyDescent="0.2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2:16" x14ac:dyDescent="0.2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2:16" x14ac:dyDescent="0.2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2:16" x14ac:dyDescent="0.2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</row>
    <row r="104" spans="2:16" x14ac:dyDescent="0.2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2:16" x14ac:dyDescent="0.2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2:16" x14ac:dyDescent="0.2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  <row r="107" spans="2:16" x14ac:dyDescent="0.2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</row>
    <row r="108" spans="2:16" x14ac:dyDescent="0.2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</row>
    <row r="109" spans="2:16" x14ac:dyDescent="0.2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</row>
    <row r="110" spans="2:16" x14ac:dyDescent="0.2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 x14ac:dyDescent="0.2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 x14ac:dyDescent="0.2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 x14ac:dyDescent="0.2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 x14ac:dyDescent="0.25">
      <c r="B114" s="116"/>
      <c r="C114" s="118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 x14ac:dyDescent="0.25">
      <c r="B115" s="116"/>
      <c r="C115" s="118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 x14ac:dyDescent="0.25">
      <c r="B116" s="116"/>
      <c r="C116" s="118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 x14ac:dyDescent="0.25">
      <c r="B117" s="116"/>
      <c r="C117" s="118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 x14ac:dyDescent="0.2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 x14ac:dyDescent="0.2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 x14ac:dyDescent="0.2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 x14ac:dyDescent="0.2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 x14ac:dyDescent="0.2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 x14ac:dyDescent="0.2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 x14ac:dyDescent="0.2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 x14ac:dyDescent="0.2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 x14ac:dyDescent="0.2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 x14ac:dyDescent="0.2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 x14ac:dyDescent="0.2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 x14ac:dyDescent="0.2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 x14ac:dyDescent="0.2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 x14ac:dyDescent="0.25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 x14ac:dyDescent="0.2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 x14ac:dyDescent="0.2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 x14ac:dyDescent="0.25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 ht="18.75" x14ac:dyDescent="0.3">
      <c r="B135" s="116"/>
      <c r="C135" s="125" t="s">
        <v>99</v>
      </c>
      <c r="D135" s="125"/>
      <c r="E135" s="125"/>
      <c r="F135" s="125"/>
      <c r="G135" s="125"/>
      <c r="H135" s="125"/>
      <c r="I135" s="124"/>
      <c r="J135" s="124"/>
      <c r="K135" s="124"/>
      <c r="L135" s="124"/>
      <c r="M135" s="124"/>
      <c r="N135" s="116"/>
      <c r="O135" s="116"/>
      <c r="P135" s="116"/>
    </row>
    <row r="136" spans="2:16" x14ac:dyDescent="0.25">
      <c r="B136" s="116"/>
      <c r="C136" s="118" t="s">
        <v>101</v>
      </c>
      <c r="D136" s="118"/>
      <c r="E136" s="116"/>
      <c r="F136" s="116"/>
      <c r="G136" s="118">
        <f>'Emisja na budynek'!C2</f>
        <v>139</v>
      </c>
      <c r="H136" s="126" t="s">
        <v>58</v>
      </c>
      <c r="I136" s="116"/>
      <c r="J136" s="120" t="s">
        <v>97</v>
      </c>
      <c r="K136" s="116"/>
      <c r="L136" s="116"/>
      <c r="M136" s="116"/>
      <c r="N136" s="116"/>
      <c r="O136" s="116"/>
      <c r="P136" s="116"/>
    </row>
    <row r="137" spans="2:16" x14ac:dyDescent="0.25">
      <c r="B137" s="116"/>
      <c r="C137" s="118" t="s">
        <v>102</v>
      </c>
      <c r="D137" s="118"/>
      <c r="E137" s="116"/>
      <c r="F137" s="116"/>
      <c r="G137" s="118">
        <f>'Emisja na budynek'!C3</f>
        <v>100</v>
      </c>
      <c r="H137" s="126" t="s">
        <v>103</v>
      </c>
      <c r="I137" s="116"/>
      <c r="J137" s="120" t="s">
        <v>97</v>
      </c>
      <c r="K137" s="116"/>
      <c r="L137" s="116"/>
      <c r="M137" s="116"/>
      <c r="N137" s="116"/>
      <c r="O137" s="116"/>
      <c r="P137" s="116"/>
    </row>
    <row r="138" spans="2:16" x14ac:dyDescent="0.25">
      <c r="B138" s="116"/>
      <c r="C138" s="118" t="s">
        <v>57</v>
      </c>
      <c r="D138" s="118"/>
      <c r="E138" s="116"/>
      <c r="F138" s="116"/>
      <c r="G138" s="118">
        <f>'Emisja na budynek'!C4</f>
        <v>3</v>
      </c>
      <c r="H138" s="126" t="s">
        <v>87</v>
      </c>
      <c r="I138" s="116"/>
      <c r="J138" s="120" t="s">
        <v>97</v>
      </c>
      <c r="K138" s="116"/>
      <c r="L138" s="116"/>
      <c r="M138" s="116"/>
      <c r="N138" s="116"/>
      <c r="O138" s="116"/>
      <c r="P138" s="116"/>
    </row>
    <row r="139" spans="2:16" x14ac:dyDescent="0.25">
      <c r="B139" s="116"/>
      <c r="C139" s="118" t="s">
        <v>104</v>
      </c>
      <c r="D139" s="118"/>
      <c r="E139" s="116"/>
      <c r="F139" s="116"/>
      <c r="G139" s="118">
        <f>'Emisja na budynek'!C6</f>
        <v>13900</v>
      </c>
      <c r="H139" s="126" t="s">
        <v>88</v>
      </c>
      <c r="I139" s="116"/>
      <c r="J139" s="120" t="s">
        <v>98</v>
      </c>
      <c r="K139" s="116"/>
      <c r="L139" s="116"/>
      <c r="M139" s="116"/>
      <c r="N139" s="116"/>
      <c r="O139" s="116"/>
      <c r="P139" s="116"/>
    </row>
    <row r="140" spans="2:16" x14ac:dyDescent="0.25">
      <c r="B140" s="116"/>
      <c r="C140" s="118" t="s">
        <v>62</v>
      </c>
      <c r="D140" s="118"/>
      <c r="E140" s="116"/>
      <c r="F140" s="116"/>
      <c r="G140" s="121">
        <f>'Emisja na budynek'!C7</f>
        <v>2548.7220000000002</v>
      </c>
      <c r="H140" s="126" t="s">
        <v>88</v>
      </c>
      <c r="I140" s="116"/>
      <c r="J140" s="120" t="s">
        <v>98</v>
      </c>
      <c r="K140" s="116"/>
      <c r="L140" s="116"/>
      <c r="M140" s="116"/>
      <c r="N140" s="116"/>
      <c r="O140" s="116"/>
      <c r="P140" s="116"/>
    </row>
    <row r="141" spans="2:16" x14ac:dyDescent="0.25">
      <c r="B141" s="116"/>
      <c r="C141" s="118" t="s">
        <v>105</v>
      </c>
      <c r="D141" s="118"/>
      <c r="E141" s="116"/>
      <c r="F141" s="116"/>
      <c r="G141" s="121">
        <f>'Emisja na budynek'!C8</f>
        <v>16448.722000000002</v>
      </c>
      <c r="H141" s="126" t="s">
        <v>88</v>
      </c>
      <c r="I141" s="116"/>
      <c r="J141" s="120" t="s">
        <v>98</v>
      </c>
      <c r="K141" s="116"/>
      <c r="L141" s="116"/>
      <c r="M141" s="116"/>
      <c r="N141" s="116"/>
      <c r="O141" s="116"/>
      <c r="P141" s="116"/>
    </row>
    <row r="142" spans="2:16" x14ac:dyDescent="0.25">
      <c r="B142" s="116"/>
      <c r="C142" s="122" t="s">
        <v>100</v>
      </c>
      <c r="D142" s="123"/>
      <c r="E142" s="121"/>
      <c r="F142" s="119"/>
      <c r="G142" s="120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 x14ac:dyDescent="0.25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</sheetData>
  <mergeCells count="1">
    <mergeCell ref="C3:O3"/>
  </mergeCells>
  <pageMargins left="0.7" right="0.7" top="0.75" bottom="0.75" header="0.3" footer="0.3"/>
  <pageSetup paperSize="9" scale="7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L50"/>
  <sheetViews>
    <sheetView showGridLines="0" zoomScaleNormal="100" workbookViewId="0">
      <selection activeCell="J11" sqref="J11"/>
    </sheetView>
  </sheetViews>
  <sheetFormatPr defaultRowHeight="15" x14ac:dyDescent="0.25"/>
  <cols>
    <col min="1" max="1" width="1.42578125" style="105" customWidth="1"/>
    <col min="2" max="2" width="2.5703125" style="105" customWidth="1"/>
    <col min="3" max="11" width="9.140625" style="105"/>
    <col min="12" max="12" width="2.5703125" style="105" customWidth="1"/>
    <col min="13" max="16384" width="9.140625" style="105"/>
  </cols>
  <sheetData>
    <row r="1" spans="2:12" ht="7.5" customHeight="1" x14ac:dyDescent="0.25"/>
    <row r="2" spans="2:12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.75" x14ac:dyDescent="0.25">
      <c r="B3" s="106"/>
      <c r="C3" s="158" t="s">
        <v>94</v>
      </c>
      <c r="D3" s="158"/>
      <c r="E3" s="158"/>
      <c r="F3" s="158"/>
      <c r="G3" s="158"/>
      <c r="H3" s="158"/>
      <c r="I3" s="158"/>
      <c r="J3" s="158"/>
      <c r="K3" s="158"/>
      <c r="L3" s="106"/>
    </row>
    <row r="4" spans="2:12" x14ac:dyDescent="0.25">
      <c r="B4" s="106"/>
      <c r="C4" s="108"/>
      <c r="D4" s="108"/>
      <c r="E4" s="108"/>
      <c r="F4" s="108"/>
      <c r="G4" s="108"/>
      <c r="H4" s="108"/>
      <c r="I4" s="108"/>
      <c r="J4" s="108"/>
      <c r="K4" s="108"/>
      <c r="L4" s="106"/>
    </row>
    <row r="5" spans="2:12" ht="18.75" customHeight="1" x14ac:dyDescent="0.25">
      <c r="B5" s="106"/>
      <c r="C5" s="162" t="s">
        <v>106</v>
      </c>
      <c r="D5" s="162"/>
      <c r="E5" s="162"/>
      <c r="F5" s="162"/>
      <c r="G5" s="162"/>
      <c r="H5" s="162"/>
      <c r="I5" s="166"/>
      <c r="J5" s="111"/>
      <c r="K5" s="111"/>
      <c r="L5" s="106"/>
    </row>
    <row r="6" spans="2:12" x14ac:dyDescent="0.25">
      <c r="B6" s="106"/>
      <c r="C6" s="109"/>
      <c r="D6" s="109"/>
      <c r="E6" s="109"/>
      <c r="F6" s="109"/>
      <c r="G6" s="109"/>
      <c r="H6" s="109"/>
      <c r="I6" s="109"/>
      <c r="J6" s="109"/>
      <c r="K6" s="108"/>
      <c r="L6" s="106"/>
    </row>
    <row r="7" spans="2:12" x14ac:dyDescent="0.25">
      <c r="B7" s="106"/>
      <c r="C7" s="107" t="s">
        <v>55</v>
      </c>
      <c r="D7" s="107"/>
      <c r="E7" s="107"/>
      <c r="F7" s="107"/>
      <c r="G7" s="112">
        <v>139</v>
      </c>
      <c r="H7" s="110" t="s">
        <v>58</v>
      </c>
      <c r="I7" s="106"/>
      <c r="J7" s="106"/>
      <c r="K7" s="106"/>
      <c r="L7" s="106"/>
    </row>
    <row r="8" spans="2:12" x14ac:dyDescent="0.25">
      <c r="B8" s="106"/>
      <c r="C8" s="107" t="s">
        <v>91</v>
      </c>
      <c r="D8" s="107"/>
      <c r="E8" s="107"/>
      <c r="F8" s="107"/>
      <c r="G8" s="112">
        <v>100</v>
      </c>
      <c r="H8" s="110" t="s">
        <v>92</v>
      </c>
      <c r="I8" s="106"/>
      <c r="J8" s="110" t="str">
        <f>"/ "&amp;G8/2&amp;" [W/m2]"</f>
        <v>/ 50 [W/m2]</v>
      </c>
      <c r="K8" s="110" t="str">
        <f>"/ "&amp;ROUND(G11/2000,2)&amp;" [kW]"</f>
        <v>/ 6,95 [kW]</v>
      </c>
      <c r="L8" s="106"/>
    </row>
    <row r="9" spans="2:12" x14ac:dyDescent="0.25">
      <c r="B9" s="106"/>
      <c r="C9" s="107" t="s">
        <v>57</v>
      </c>
      <c r="D9" s="107"/>
      <c r="E9" s="107"/>
      <c r="F9" s="107"/>
      <c r="G9" s="112">
        <v>3</v>
      </c>
      <c r="H9" s="110" t="s">
        <v>87</v>
      </c>
      <c r="I9" s="106"/>
      <c r="J9" s="106"/>
      <c r="K9" s="106"/>
      <c r="L9" s="106"/>
    </row>
    <row r="10" spans="2:12" x14ac:dyDescent="0.25">
      <c r="B10" s="106"/>
      <c r="C10" s="107"/>
      <c r="D10" s="107"/>
      <c r="E10" s="107"/>
      <c r="F10" s="107"/>
      <c r="G10" s="107"/>
      <c r="H10" s="110"/>
      <c r="I10" s="106"/>
      <c r="J10" s="106"/>
      <c r="K10" s="106"/>
      <c r="L10" s="106"/>
    </row>
    <row r="11" spans="2:12" x14ac:dyDescent="0.25">
      <c r="B11" s="106"/>
      <c r="C11" s="107" t="s">
        <v>61</v>
      </c>
      <c r="D11" s="107"/>
      <c r="E11" s="107"/>
      <c r="F11" s="107"/>
      <c r="G11" s="95">
        <f>G7*G8</f>
        <v>13900</v>
      </c>
      <c r="H11" s="110" t="s">
        <v>63</v>
      </c>
      <c r="I11" s="106"/>
      <c r="J11" s="106"/>
      <c r="K11" s="106"/>
      <c r="L11" s="106"/>
    </row>
    <row r="12" spans="2:12" x14ac:dyDescent="0.25">
      <c r="B12" s="106"/>
      <c r="C12" s="107" t="s">
        <v>62</v>
      </c>
      <c r="D12" s="107"/>
      <c r="E12" s="107"/>
      <c r="F12" s="107"/>
      <c r="G12" s="96">
        <f>G9*40*365*0.0011638*50</f>
        <v>2548.7220000000002</v>
      </c>
      <c r="H12" s="110" t="s">
        <v>63</v>
      </c>
      <c r="I12" s="106"/>
      <c r="J12" s="106"/>
      <c r="K12" s="106"/>
      <c r="L12" s="106"/>
    </row>
    <row r="13" spans="2:12" x14ac:dyDescent="0.25">
      <c r="B13" s="106"/>
      <c r="C13" s="107" t="s">
        <v>64</v>
      </c>
      <c r="D13" s="107"/>
      <c r="E13" s="107"/>
      <c r="F13" s="107"/>
      <c r="G13" s="97">
        <f>G11+G12</f>
        <v>16448.722000000002</v>
      </c>
      <c r="H13" s="110" t="s">
        <v>63</v>
      </c>
      <c r="I13" s="106"/>
      <c r="J13" s="106"/>
      <c r="K13" s="106"/>
      <c r="L13" s="106"/>
    </row>
    <row r="14" spans="2:12" x14ac:dyDescent="0.25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12" x14ac:dyDescent="0.25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2:12" x14ac:dyDescent="0.25">
      <c r="B16" s="106"/>
      <c r="C16" s="159" t="s">
        <v>89</v>
      </c>
      <c r="D16" s="159"/>
      <c r="E16" s="159"/>
      <c r="F16" s="159"/>
      <c r="G16" s="113" t="s">
        <v>95</v>
      </c>
      <c r="H16" s="161" t="s">
        <v>90</v>
      </c>
      <c r="I16" s="161"/>
      <c r="J16" s="161"/>
      <c r="K16" s="161"/>
      <c r="L16" s="106"/>
    </row>
    <row r="17" spans="2:12" x14ac:dyDescent="0.25">
      <c r="B17" s="106"/>
      <c r="C17" s="160" t="s">
        <v>81</v>
      </c>
      <c r="D17" s="160"/>
      <c r="E17" s="160"/>
      <c r="F17" s="160"/>
      <c r="G17" s="165" t="s">
        <v>107</v>
      </c>
      <c r="H17" s="160" t="s">
        <v>83</v>
      </c>
      <c r="I17" s="160"/>
      <c r="J17" s="160"/>
      <c r="K17" s="160"/>
      <c r="L17" s="165" t="s">
        <v>107</v>
      </c>
    </row>
    <row r="18" spans="2:12" x14ac:dyDescent="0.25">
      <c r="B18" s="106"/>
      <c r="C18" s="106"/>
      <c r="D18" s="106"/>
      <c r="E18" s="106"/>
      <c r="F18" s="106"/>
      <c r="G18" s="106"/>
      <c r="H18" s="164" t="str">
        <f>IF(H17="Pompa ciepła powietrze/woda","Energia elektryczna to tzw. emisja wysoka",IF(H17="Pompa ciepła grunt/woda","Energia elektryczna to tzw. emisja wysoka",""))</f>
        <v>Energia elektryczna to tzw. emisja wysoka</v>
      </c>
      <c r="I18" s="106"/>
      <c r="J18" s="106"/>
      <c r="K18" s="106"/>
      <c r="L18" s="106"/>
    </row>
    <row r="19" spans="2:12" x14ac:dyDescent="0.2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12" ht="18.75" customHeight="1" x14ac:dyDescent="0.25">
      <c r="B20" s="106"/>
      <c r="C20" s="157" t="s">
        <v>96</v>
      </c>
      <c r="D20" s="157"/>
      <c r="E20" s="157"/>
      <c r="F20" s="157"/>
      <c r="G20" s="157"/>
      <c r="H20" s="157"/>
      <c r="I20" s="157"/>
      <c r="J20" s="157"/>
      <c r="K20" s="157"/>
      <c r="L20" s="106"/>
    </row>
    <row r="21" spans="2:12" x14ac:dyDescent="0.2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12" x14ac:dyDescent="0.2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12" x14ac:dyDescent="0.2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 x14ac:dyDescent="0.2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12" x14ac:dyDescent="0.2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12" x14ac:dyDescent="0.2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12" x14ac:dyDescent="0.2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12" x14ac:dyDescent="0.2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12" x14ac:dyDescent="0.2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12" x14ac:dyDescent="0.2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12" x14ac:dyDescent="0.2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12" x14ac:dyDescent="0.2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 x14ac:dyDescent="0.2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 x14ac:dyDescent="0.2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 x14ac:dyDescent="0.2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 x14ac:dyDescent="0.2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 x14ac:dyDescent="0.2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 ht="13.5" customHeight="1" x14ac:dyDescent="0.2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 x14ac:dyDescent="0.2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 x14ac:dyDescent="0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 x14ac:dyDescent="0.25">
      <c r="B42" s="106"/>
      <c r="C42" s="164" t="str">
        <f>IF(H17="Pompa ciepła powietrze/woda","Energia elektryczna to tzw. emisja wysoka",IF(H17="Pompa ciepła grunt/woda","Energia elektryczna to tzw. emisja wysoka",""))</f>
        <v>Energia elektryczna to tzw. emisja wysoka</v>
      </c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 x14ac:dyDescent="0.2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 x14ac:dyDescent="0.2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 x14ac:dyDescent="0.2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 x14ac:dyDescent="0.2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 x14ac:dyDescent="0.2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 ht="15" customHeight="1" x14ac:dyDescent="0.25">
      <c r="B48" s="106"/>
      <c r="C48" s="106"/>
      <c r="D48" s="106"/>
      <c r="E48" s="106"/>
      <c r="F48" s="106"/>
      <c r="G48" s="106"/>
      <c r="H48" s="106"/>
      <c r="I48" s="106"/>
      <c r="J48" s="114"/>
      <c r="K48" s="115"/>
      <c r="L48" s="106"/>
    </row>
    <row r="49" spans="2:12" ht="15" customHeight="1" x14ac:dyDescent="0.25">
      <c r="B49" s="106"/>
      <c r="C49" s="106"/>
      <c r="D49" s="106"/>
      <c r="E49" s="106"/>
      <c r="F49" s="106"/>
      <c r="G49" s="106"/>
      <c r="H49" s="106"/>
      <c r="I49" s="106"/>
      <c r="J49" s="106"/>
      <c r="K49" s="127" t="s">
        <v>100</v>
      </c>
      <c r="L49" s="106"/>
    </row>
    <row r="50" spans="2:12" x14ac:dyDescent="0.2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</sheetData>
  <mergeCells count="7">
    <mergeCell ref="C20:K20"/>
    <mergeCell ref="C3:K3"/>
    <mergeCell ref="C16:F16"/>
    <mergeCell ref="C17:F17"/>
    <mergeCell ref="H16:K16"/>
    <mergeCell ref="H17:K17"/>
    <mergeCell ref="C5:H5"/>
  </mergeCells>
  <dataValidations count="1">
    <dataValidation type="list" allowBlank="1" showInputMessage="1" showErrorMessage="1" sqref="C17 H17">
      <formula1>zrodla_ciepla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Wskaźniki emisji</vt:lpstr>
      <vt:lpstr>Emisja na budynek</vt:lpstr>
      <vt:lpstr>Wykresy</vt:lpstr>
      <vt:lpstr>Analiza</vt:lpstr>
      <vt:lpstr>emisja</vt:lpstr>
      <vt:lpstr>emisja2</vt:lpstr>
      <vt:lpstr>Analiza!Obszar_wydruku</vt:lpstr>
      <vt:lpstr>Wykresy!Obszar_wydruku</vt:lpstr>
      <vt:lpstr>zrodla_ciepla</vt:lpstr>
      <vt:lpstr>zrodlo</vt:lpstr>
    </vt:vector>
  </TitlesOfParts>
  <Company>Viessmann Werke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Dawid_Pantera</dc:creator>
  <cp:lastModifiedBy>Dawid_Pantera</cp:lastModifiedBy>
  <cp:lastPrinted>2018-02-19T18:03:22Z</cp:lastPrinted>
  <dcterms:created xsi:type="dcterms:W3CDTF">2018-02-18T09:35:28Z</dcterms:created>
  <dcterms:modified xsi:type="dcterms:W3CDTF">2018-02-21T12:09:14Z</dcterms:modified>
</cp:coreProperties>
</file>