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olen\AkademiaVi2007\2016\Kalkulatory\"/>
    </mc:Choice>
  </mc:AlternateContent>
  <bookViews>
    <workbookView xWindow="240" yWindow="75" windowWidth="23520" windowHeight="10485" firstSheet="1" activeTab="1"/>
  </bookViews>
  <sheets>
    <sheet name="Admin" sheetId="3" state="hidden" r:id="rId1"/>
    <sheet name="Wyniki" sheetId="2" r:id="rId2"/>
  </sheets>
  <externalReferences>
    <externalReference r:id="rId3"/>
  </externalReferences>
  <definedNames>
    <definedName name="budynek">[1]Dane!$H$65:$H$70</definedName>
    <definedName name="dane_bud">Wyniki!$B$90:$B$95</definedName>
    <definedName name="pasuje1" comment="pasuje11" localSheetId="1">"pasuje"</definedName>
    <definedName name="_xlnm.Print_Area" localSheetId="1">Wyniki!$A$1:$BH$80</definedName>
  </definedNames>
  <calcPr calcId="162913" concurrentCalc="0"/>
</workbook>
</file>

<file path=xl/calcChain.xml><?xml version="1.0" encoding="utf-8"?>
<calcChain xmlns="http://schemas.openxmlformats.org/spreadsheetml/2006/main">
  <c r="C31" i="3" l="1"/>
  <c r="J7" i="3"/>
  <c r="G7" i="3"/>
  <c r="C32" i="3"/>
  <c r="C34" i="3"/>
  <c r="H7" i="3"/>
  <c r="L7" i="3"/>
  <c r="O7" i="3"/>
  <c r="D31" i="3"/>
  <c r="J8" i="3"/>
  <c r="G8" i="3"/>
  <c r="D32" i="3"/>
  <c r="D34" i="3"/>
  <c r="H8" i="3"/>
  <c r="L8" i="3"/>
  <c r="O8" i="3"/>
  <c r="E31" i="3"/>
  <c r="J9" i="3"/>
  <c r="G9" i="3"/>
  <c r="E32" i="3"/>
  <c r="E34" i="3"/>
  <c r="H9" i="3"/>
  <c r="L9" i="3"/>
  <c r="O9" i="3"/>
  <c r="F31" i="3"/>
  <c r="J10" i="3"/>
  <c r="G10" i="3"/>
  <c r="F32" i="3"/>
  <c r="F34" i="3"/>
  <c r="H10" i="3"/>
  <c r="L10" i="3"/>
  <c r="O10" i="3"/>
  <c r="G31" i="3"/>
  <c r="J11" i="3"/>
  <c r="G11" i="3"/>
  <c r="G32" i="3"/>
  <c r="G34" i="3"/>
  <c r="H11" i="3"/>
  <c r="L11" i="3"/>
  <c r="O11" i="3"/>
  <c r="H31" i="3"/>
  <c r="J12" i="3"/>
  <c r="G12" i="3"/>
  <c r="H32" i="3"/>
  <c r="H34" i="3"/>
  <c r="H12" i="3"/>
  <c r="L12" i="3"/>
  <c r="O12" i="3"/>
  <c r="I31" i="3"/>
  <c r="J13" i="3"/>
  <c r="G13" i="3"/>
  <c r="I32" i="3"/>
  <c r="I34" i="3"/>
  <c r="H13" i="3"/>
  <c r="L13" i="3"/>
  <c r="O13" i="3"/>
  <c r="J31" i="3"/>
  <c r="J14" i="3"/>
  <c r="G14" i="3"/>
  <c r="J32" i="3"/>
  <c r="J34" i="3"/>
  <c r="H14" i="3"/>
  <c r="L14" i="3"/>
  <c r="O14" i="3"/>
  <c r="O19" i="3"/>
  <c r="AW34" i="2"/>
  <c r="P7" i="3"/>
  <c r="P8" i="3"/>
  <c r="P9" i="3"/>
  <c r="P10" i="3"/>
  <c r="P11" i="3"/>
  <c r="P12" i="3"/>
  <c r="P13" i="3"/>
  <c r="P14" i="3"/>
  <c r="P17" i="3"/>
  <c r="AW35" i="2"/>
  <c r="J34" i="2"/>
  <c r="G2" i="3"/>
  <c r="C30" i="3"/>
  <c r="C33" i="3"/>
  <c r="D30" i="3"/>
  <c r="D33" i="3"/>
  <c r="E30" i="3"/>
  <c r="E33" i="3"/>
  <c r="F30" i="3"/>
  <c r="F33" i="3"/>
  <c r="G30" i="3"/>
  <c r="G33" i="3"/>
  <c r="H30" i="3"/>
  <c r="H33" i="3"/>
  <c r="I33" i="3"/>
  <c r="J30" i="3"/>
  <c r="J33" i="3"/>
  <c r="G17" i="3"/>
  <c r="AW33" i="2"/>
  <c r="F35" i="2"/>
  <c r="BF20" i="2"/>
  <c r="N12" i="3"/>
  <c r="N9" i="3"/>
  <c r="AT23" i="2"/>
  <c r="AV23" i="2"/>
  <c r="AX23" i="2"/>
  <c r="AZ23" i="2"/>
  <c r="BB23" i="2"/>
  <c r="BE23" i="2"/>
  <c r="BF23" i="2"/>
  <c r="BG23" i="2"/>
  <c r="N7" i="3"/>
  <c r="N11" i="3"/>
  <c r="R11" i="2"/>
  <c r="P7" i="2"/>
  <c r="P9" i="2"/>
  <c r="C10" i="2"/>
  <c r="C9" i="2"/>
  <c r="I10" i="3"/>
  <c r="I14" i="3"/>
  <c r="N10" i="3"/>
  <c r="N14" i="3"/>
  <c r="N13" i="3"/>
  <c r="I11" i="3"/>
  <c r="N8" i="3"/>
  <c r="I12" i="3"/>
  <c r="N22" i="3"/>
  <c r="N24" i="3"/>
  <c r="N26" i="3"/>
  <c r="I8" i="3"/>
  <c r="I9" i="3"/>
  <c r="I13" i="3"/>
  <c r="I7" i="3"/>
  <c r="R17" i="3"/>
  <c r="I17" i="3"/>
  <c r="AW36" i="2"/>
  <c r="L17" i="3"/>
  <c r="AB59" i="2"/>
  <c r="F41" i="2"/>
  <c r="F19" i="2"/>
  <c r="AB65" i="2"/>
  <c r="F25" i="2"/>
  <c r="AB19" i="2"/>
  <c r="AB41" i="2"/>
  <c r="AB22" i="2"/>
  <c r="AB62" i="2"/>
  <c r="F22" i="2"/>
  <c r="F44" i="2"/>
  <c r="AB44" i="2"/>
  <c r="F38" i="2"/>
  <c r="AB35" i="2"/>
  <c r="AB38" i="2"/>
  <c r="AB25" i="2"/>
  <c r="AE34" i="2"/>
  <c r="AG64" i="2"/>
  <c r="L40" i="2"/>
  <c r="AF61" i="2"/>
  <c r="M24" i="2"/>
  <c r="AE18" i="2"/>
  <c r="AH43" i="2"/>
  <c r="AG24" i="2"/>
  <c r="AG40" i="2"/>
  <c r="K18" i="2"/>
  <c r="AE58" i="2"/>
  <c r="K37" i="2"/>
  <c r="AF21" i="2"/>
  <c r="AF37" i="2"/>
  <c r="L21" i="2"/>
  <c r="M43" i="2"/>
  <c r="AW37" i="2"/>
</calcChain>
</file>

<file path=xl/sharedStrings.xml><?xml version="1.0" encoding="utf-8"?>
<sst xmlns="http://schemas.openxmlformats.org/spreadsheetml/2006/main" count="190" uniqueCount="105">
  <si>
    <t>Wh</t>
  </si>
  <si>
    <t>litry</t>
  </si>
  <si>
    <t>Temperatura</t>
  </si>
  <si>
    <t>Czas poboru</t>
  </si>
  <si>
    <t>min</t>
  </si>
  <si>
    <t>Zużycie</t>
  </si>
  <si>
    <t>Energia</t>
  </si>
  <si>
    <t>160 litrów</t>
  </si>
  <si>
    <t>200 litrów</t>
  </si>
  <si>
    <t>Wyposażenie:</t>
  </si>
  <si>
    <t>Zlew</t>
  </si>
  <si>
    <t>Umywalka</t>
  </si>
  <si>
    <t>Natryk oszczędny</t>
  </si>
  <si>
    <t>Natryk normalny</t>
  </si>
  <si>
    <t>Natryk komfortowy</t>
  </si>
  <si>
    <t>Wanna 140 litrów</t>
  </si>
  <si>
    <t>Wanna 200 litrów</t>
  </si>
  <si>
    <t>Wanna 160 litrów</t>
  </si>
  <si>
    <t>Wymagany minimalny NL</t>
  </si>
  <si>
    <t>Łączna ilość osób korzystających z wody:</t>
  </si>
  <si>
    <t>Ilość punktów poboru możliwych do wykorzystania w jednej chwili</t>
  </si>
  <si>
    <t>Wylewka</t>
  </si>
  <si>
    <t>litry/min</t>
  </si>
  <si>
    <t>Czas poboru [min]</t>
  </si>
  <si>
    <t>Litry/min</t>
  </si>
  <si>
    <t>Litry/min/zużcyie</t>
  </si>
  <si>
    <t>Maksymalne zużycie chwilowe litry/10min</t>
  </si>
  <si>
    <t>Litry</t>
  </si>
  <si>
    <t>Wanna</t>
  </si>
  <si>
    <t>Natrysk</t>
  </si>
  <si>
    <t>Koszt przygotowania (jednorazowo)</t>
  </si>
  <si>
    <t>Koszt przygotowania (rocznie)</t>
  </si>
  <si>
    <t>Energia [Wh]</t>
  </si>
  <si>
    <t>Energia [kWh]</t>
  </si>
  <si>
    <t>Litry/10min</t>
  </si>
  <si>
    <t>Wydatek po 10min</t>
  </si>
  <si>
    <t>Moc [kW]</t>
  </si>
  <si>
    <t>Wymagany NL</t>
  </si>
  <si>
    <t>Wymagana wydajność stała</t>
  </si>
  <si>
    <t>Wymagana całkowita ilość wody</t>
  </si>
  <si>
    <t>Rodzaj budynku</t>
  </si>
  <si>
    <t>Powierzchnia ogrzewana [m²]</t>
  </si>
  <si>
    <t>Nowe budownictwo szeregowe (60 W/m²)</t>
  </si>
  <si>
    <t>▼</t>
  </si>
  <si>
    <t>Ilość mieszkańców</t>
  </si>
  <si>
    <t>Pozostała ilość wody po 10min</t>
  </si>
  <si>
    <t>Normalny</t>
  </si>
  <si>
    <t>140 litrów</t>
  </si>
  <si>
    <t>Komfort</t>
  </si>
  <si>
    <t>Oszczędny</t>
  </si>
  <si>
    <t>Wymagana wydajność chwilowa przez 10min</t>
  </si>
  <si>
    <t>NL=</t>
  </si>
  <si>
    <t>litry / 10min</t>
  </si>
  <si>
    <t>litry / h</t>
  </si>
  <si>
    <t>°C</t>
  </si>
  <si>
    <t>Moc Q =</t>
  </si>
  <si>
    <t>[ litry / 10min ]</t>
  </si>
  <si>
    <t>[ litry / h ]</t>
  </si>
  <si>
    <t>[ kW ]</t>
  </si>
  <si>
    <t>Spełnione warunki brzegowe =&gt; zapewniony komfort korzystania z wody</t>
  </si>
  <si>
    <t>Nie spełnione warunki brzegowe</t>
  </si>
  <si>
    <t>Możliwość obniżenia komfortu przy jednoczesnym poborze wody ze wskazanych punktów</t>
  </si>
  <si>
    <t>Możliwość obniżenia komfortu przy dłuższym czasie korzystania w wody</t>
  </si>
  <si>
    <t>Moc kotła grzewczego</t>
  </si>
  <si>
    <t>Dane dotyczące budynku</t>
  </si>
  <si>
    <t>Pasywny (10 W/m²)</t>
  </si>
  <si>
    <t>Niskoenergetyczny (40 W/m²)</t>
  </si>
  <si>
    <t>Nowe budownictwo (70 W/m²)</t>
  </si>
  <si>
    <t>Izolowany, rok budowy &lt; 1995 (80 W/m²)</t>
  </si>
  <si>
    <t>Starszy bez izolacji (120 W/m²)</t>
  </si>
  <si>
    <r>
      <t xml:space="preserve">Wyposażenie </t>
    </r>
    <r>
      <rPr>
        <sz val="11"/>
        <color theme="1"/>
        <rFont val="Czcionka tekstu podstawowego"/>
        <charset val="238"/>
      </rPr>
      <t>( wszystkie punkty podobru wody, które dopuszcza się do pracy</t>
    </r>
    <r>
      <rPr>
        <b/>
        <sz val="11"/>
        <color rgb="FFFF0000"/>
        <rFont val="Czcionka tekstu podstawowego"/>
        <charset val="238"/>
      </rPr>
      <t xml:space="preserve"> </t>
    </r>
    <r>
      <rPr>
        <b/>
        <sz val="11"/>
        <color rgb="FFC00000"/>
        <rFont val="Czcionka tekstu podstawowego"/>
        <charset val="238"/>
      </rPr>
      <t>jednoczesnej</t>
    </r>
    <r>
      <rPr>
        <sz val="11"/>
        <color theme="1"/>
        <rFont val="Czcionka tekstu podstawowego"/>
        <charset val="238"/>
      </rPr>
      <t xml:space="preserve"> )</t>
    </r>
  </si>
  <si>
    <t>Jednostka</t>
  </si>
  <si>
    <t>Objaśnienia</t>
  </si>
  <si>
    <t>Warunek nie spełniony</t>
  </si>
  <si>
    <t>Warunek spełniony</t>
  </si>
  <si>
    <t>Założenia</t>
  </si>
  <si>
    <t>Komfortowy</t>
  </si>
  <si>
    <t>Czas poboru [ min ]</t>
  </si>
  <si>
    <t>Dane poprawne</t>
  </si>
  <si>
    <t>Niespójność danych (sprawdzić czy ilość punktów poboru jest zgodna z ilością mieszkańców)</t>
  </si>
  <si>
    <t>Dane dotyczące punktów poboru wody</t>
  </si>
  <si>
    <t>Arkusz doborowy kotła kompaktowego</t>
  </si>
  <si>
    <t>5,9 - 29,3 kW</t>
  </si>
  <si>
    <t>8,0 - 35,0 kW</t>
  </si>
  <si>
    <t>Zakres mocy na CWU</t>
  </si>
  <si>
    <t>1,7 - 17,2 kW</t>
  </si>
  <si>
    <t>5,9 - 24,0 kW</t>
  </si>
  <si>
    <t>Model</t>
  </si>
  <si>
    <t>Warunek spełniony w co najmniej 90%</t>
  </si>
  <si>
    <t>Temperatura [ °C ]</t>
  </si>
  <si>
    <t>Jednorazowe zużycie [ litry ]</t>
  </si>
  <si>
    <t>=&gt; wartości można edytować</t>
  </si>
  <si>
    <t>Wylewka [ litry / min ]</t>
  </si>
  <si>
    <t>Wartości obliczone</t>
  </si>
  <si>
    <t>Vitodens 222-W B2LB</t>
  </si>
  <si>
    <t>Vitodens 111-W B1LD</t>
  </si>
  <si>
    <t>1,7 - 17,2</t>
  </si>
  <si>
    <t>2,4 - 29,3 kW</t>
  </si>
  <si>
    <t>1,6 - 33,5 kW</t>
  </si>
  <si>
    <t>Vitodens 222-F B2TB</t>
  </si>
  <si>
    <t>Vitodens 222-F B2SB</t>
  </si>
  <si>
    <t>2,4 - 23,7 kW</t>
  </si>
  <si>
    <t>Vitodens 242-F B2UB</t>
  </si>
  <si>
    <t>Spełnione NL?</t>
  </si>
  <si>
    <t>Wydajność stała obliczona dla ∆T=30K (woda zimna = 10°C, woda ciepła = 40°C)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</si>
</sst>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zl&quot;"/>
  </numFmts>
  <fonts count="32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0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0"/>
      <name val="Czcionka tekstu podstawowego"/>
      <family val="2"/>
      <charset val="238"/>
    </font>
    <font>
      <sz val="8"/>
      <color theme="1" tint="0.499984740745262"/>
      <name val="Czcionka tekstu podstawowego"/>
      <charset val="238"/>
    </font>
    <font>
      <sz val="10"/>
      <color theme="0"/>
      <name val="Czcionka tekstu podstawowego"/>
      <charset val="238"/>
    </font>
    <font>
      <sz val="11"/>
      <color theme="1"/>
      <name val="Czcionka tekstu podstawowego"/>
      <charset val="238"/>
    </font>
    <font>
      <sz val="26"/>
      <color theme="1"/>
      <name val="Wingdings"/>
      <charset val="2"/>
    </font>
    <font>
      <b/>
      <sz val="11"/>
      <color theme="1" tint="0.34998626667073579"/>
      <name val="Czcionka tekstu podstawowego"/>
      <charset val="238"/>
    </font>
    <font>
      <b/>
      <sz val="11"/>
      <color theme="0"/>
      <name val="Czcionka tekstu podstawowego"/>
      <charset val="238"/>
    </font>
    <font>
      <b/>
      <sz val="10"/>
      <color theme="1" tint="0.34998626667073579"/>
      <name val="Czcionka tekstu podstawowego"/>
      <charset val="238"/>
    </font>
    <font>
      <sz val="10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C00000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b/>
      <sz val="14"/>
      <color theme="0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sz val="10"/>
      <color rgb="FFFF0000"/>
      <name val="Czcionka tekstu podstawowego"/>
      <family val="2"/>
      <charset val="238"/>
    </font>
    <font>
      <sz val="10"/>
      <color rgb="FFFF0000"/>
      <name val="Czcionka tekstu podstawowego"/>
      <charset val="238"/>
    </font>
    <font>
      <sz val="10"/>
      <color theme="1" tint="0.34998626667073579"/>
      <name val="Czcionka tekstu podstawowego"/>
      <family val="2"/>
      <charset val="238"/>
    </font>
    <font>
      <b/>
      <sz val="10"/>
      <color theme="1" tint="0.34998626667073579"/>
      <name val="Czcionka tekstu podstawowego"/>
      <family val="2"/>
      <charset val="238"/>
    </font>
    <font>
      <sz val="10"/>
      <color theme="0" tint="-0.499984740745262"/>
      <name val="Czcionka tekstu podstawowego"/>
      <family val="2"/>
      <charset val="238"/>
    </font>
    <font>
      <b/>
      <sz val="9"/>
      <color theme="0"/>
      <name val="Czcionka tekstu podstawowego"/>
      <charset val="238"/>
    </font>
    <font>
      <i/>
      <sz val="10"/>
      <color theme="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FE1E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6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/>
    </xf>
    <xf numFmtId="21" fontId="1" fillId="2" borderId="0" xfId="0" applyNumberFormat="1" applyFont="1" applyFill="1" applyAlignment="1" applyProtection="1">
      <alignment horizontal="center"/>
    </xf>
    <xf numFmtId="0" fontId="0" fillId="2" borderId="0" xfId="0" applyFill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right" vertical="center"/>
    </xf>
    <xf numFmtId="164" fontId="4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wrapText="1"/>
    </xf>
    <xf numFmtId="0" fontId="20" fillId="2" borderId="3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9" borderId="3" xfId="0" applyFont="1" applyFill="1" applyBorder="1" applyAlignment="1" applyProtection="1">
      <alignment horizontal="center"/>
    </xf>
    <xf numFmtId="0" fontId="7" fillId="10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3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Protection="1"/>
    <xf numFmtId="0" fontId="3" fillId="6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 vertical="center"/>
    </xf>
    <xf numFmtId="0" fontId="19" fillId="6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center"/>
    </xf>
    <xf numFmtId="0" fontId="3" fillId="8" borderId="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7" fillId="8" borderId="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0" fontId="1" fillId="2" borderId="0" xfId="0" applyFont="1" applyFill="1" applyAlignment="1" applyProtection="1">
      <alignment horizontal="left"/>
    </xf>
    <xf numFmtId="0" fontId="1" fillId="2" borderId="4" xfId="0" applyFont="1" applyFill="1" applyBorder="1" applyAlignment="1" applyProtection="1"/>
    <xf numFmtId="0" fontId="20" fillId="2" borderId="5" xfId="0" applyFont="1" applyFill="1" applyBorder="1" applyAlignment="1" applyProtection="1">
      <alignment horizontal="left"/>
    </xf>
    <xf numFmtId="164" fontId="4" fillId="2" borderId="5" xfId="0" applyNumberFormat="1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horizontal="left" vertical="center"/>
    </xf>
    <xf numFmtId="2" fontId="21" fillId="2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/>
    </xf>
    <xf numFmtId="0" fontId="7" fillId="8" borderId="0" xfId="0" applyFont="1" applyFill="1" applyProtection="1"/>
    <xf numFmtId="0" fontId="7" fillId="7" borderId="0" xfId="0" applyFont="1" applyFill="1" applyProtection="1"/>
    <xf numFmtId="0" fontId="7" fillId="2" borderId="0" xfId="0" applyFont="1" applyFill="1" applyProtection="1"/>
    <xf numFmtId="0" fontId="21" fillId="2" borderId="0" xfId="0" applyFont="1" applyFill="1" applyBorder="1" applyAlignment="1" applyProtection="1">
      <alignment horizontal="center"/>
    </xf>
    <xf numFmtId="0" fontId="7" fillId="1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7" fillId="8" borderId="0" xfId="0" applyFont="1" applyFill="1" applyBorder="1" applyProtection="1"/>
    <xf numFmtId="0" fontId="7" fillId="2" borderId="0" xfId="0" applyFont="1" applyFill="1" applyBorder="1" applyProtection="1"/>
    <xf numFmtId="2" fontId="21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" fillId="2" borderId="0" xfId="0" applyFont="1" applyFill="1" applyAlignment="1" applyProtection="1">
      <alignment horizontal="center" vertical="center" wrapText="1"/>
    </xf>
    <xf numFmtId="0" fontId="1" fillId="2" borderId="11" xfId="0" applyFont="1" applyFill="1" applyBorder="1" applyAlignment="1" applyProtection="1"/>
    <xf numFmtId="0" fontId="1" fillId="2" borderId="1" xfId="0" applyFont="1" applyFill="1" applyBorder="1" applyProtection="1"/>
    <xf numFmtId="0" fontId="1" fillId="2" borderId="6" xfId="0" applyFont="1" applyFill="1" applyBorder="1" applyAlignment="1" applyProtection="1">
      <alignment horizontal="center"/>
    </xf>
    <xf numFmtId="0" fontId="7" fillId="2" borderId="5" xfId="0" applyFont="1" applyFill="1" applyBorder="1" applyProtection="1"/>
    <xf numFmtId="0" fontId="7" fillId="2" borderId="6" xfId="0" applyFont="1" applyFill="1" applyBorder="1" applyProtection="1"/>
    <xf numFmtId="0" fontId="7" fillId="2" borderId="0" xfId="0" applyFont="1" applyFill="1" applyBorder="1" applyAlignment="1" applyProtection="1"/>
    <xf numFmtId="0" fontId="0" fillId="0" borderId="4" xfId="0" applyFont="1" applyBorder="1" applyAlignment="1" applyProtection="1">
      <alignment vertical="center"/>
    </xf>
    <xf numFmtId="0" fontId="22" fillId="2" borderId="0" xfId="0" applyFont="1" applyFill="1" applyProtection="1"/>
    <xf numFmtId="0" fontId="22" fillId="2" borderId="0" xfId="0" applyFont="1" applyFill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23" fillId="7" borderId="0" xfId="0" applyFont="1" applyFill="1" applyProtection="1"/>
    <xf numFmtId="0" fontId="4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/>
    <xf numFmtId="0" fontId="3" fillId="2" borderId="5" xfId="0" applyFont="1" applyFill="1" applyBorder="1" applyAlignment="1" applyProtection="1">
      <alignment horizontal="center"/>
    </xf>
    <xf numFmtId="0" fontId="7" fillId="7" borderId="6" xfId="0" applyFont="1" applyFill="1" applyBorder="1" applyProtection="1"/>
    <xf numFmtId="0" fontId="7" fillId="7" borderId="5" xfId="0" applyFont="1" applyFill="1" applyBorder="1" applyProtection="1"/>
    <xf numFmtId="0" fontId="7" fillId="8" borderId="6" xfId="0" applyFont="1" applyFill="1" applyBorder="1" applyProtection="1"/>
    <xf numFmtId="0" fontId="1" fillId="7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/>
    </xf>
    <xf numFmtId="0" fontId="1" fillId="8" borderId="0" xfId="0" applyFont="1" applyFill="1" applyBorder="1" applyAlignment="1" applyProtection="1">
      <alignment horizontal="center"/>
    </xf>
    <xf numFmtId="0" fontId="1" fillId="8" borderId="5" xfId="0" applyFont="1" applyFill="1" applyBorder="1" applyAlignment="1" applyProtection="1">
      <alignment horizontal="center"/>
    </xf>
    <xf numFmtId="0" fontId="1" fillId="7" borderId="0" xfId="0" applyFont="1" applyFill="1" applyAlignment="1" applyProtection="1">
      <alignment horizontal="center"/>
    </xf>
    <xf numFmtId="0" fontId="1" fillId="7" borderId="6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left"/>
    </xf>
    <xf numFmtId="0" fontId="24" fillId="2" borderId="0" xfId="0" applyFont="1" applyFill="1" applyAlignment="1" applyProtection="1">
      <alignment horizontal="center"/>
    </xf>
    <xf numFmtId="0" fontId="24" fillId="2" borderId="0" xfId="0" applyFont="1" applyFill="1" applyProtection="1"/>
    <xf numFmtId="0" fontId="18" fillId="2" borderId="0" xfId="0" applyFont="1" applyFill="1" applyProtection="1"/>
    <xf numFmtId="0" fontId="5" fillId="2" borderId="0" xfId="0" applyFont="1" applyFill="1" applyProtection="1"/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 vertical="center"/>
    </xf>
    <xf numFmtId="0" fontId="1" fillId="13" borderId="3" xfId="0" applyFont="1" applyFill="1" applyBorder="1" applyAlignment="1" applyProtection="1"/>
    <xf numFmtId="0" fontId="1" fillId="13" borderId="13" xfId="0" applyFont="1" applyFill="1" applyBorder="1" applyProtection="1"/>
    <xf numFmtId="0" fontId="1" fillId="13" borderId="13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20" fillId="13" borderId="3" xfId="0" applyFont="1" applyFill="1" applyBorder="1" applyAlignment="1" applyProtection="1">
      <alignment horizontal="center"/>
    </xf>
    <xf numFmtId="0" fontId="20" fillId="13" borderId="3" xfId="0" applyFont="1" applyFill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horizontal="center" vertical="center"/>
    </xf>
    <xf numFmtId="0" fontId="26" fillId="13" borderId="3" xfId="0" applyFont="1" applyFill="1" applyBorder="1" applyAlignment="1" applyProtection="1">
      <alignment horizontal="center"/>
    </xf>
    <xf numFmtId="1" fontId="26" fillId="13" borderId="3" xfId="0" applyNumberFormat="1" applyFont="1" applyFill="1" applyBorder="1" applyAlignment="1" applyProtection="1">
      <alignment horizontal="center" vertical="center"/>
    </xf>
    <xf numFmtId="0" fontId="26" fillId="3" borderId="3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left"/>
    </xf>
    <xf numFmtId="2" fontId="2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 vertical="center"/>
    </xf>
    <xf numFmtId="0" fontId="1" fillId="13" borderId="3" xfId="0" applyFont="1" applyFill="1" applyBorder="1" applyAlignment="1" applyProtection="1">
      <alignment horizontal="center" vertical="center"/>
    </xf>
    <xf numFmtId="0" fontId="1" fillId="13" borderId="1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2" fontId="17" fillId="2" borderId="0" xfId="0" applyNumberFormat="1" applyFont="1" applyFill="1" applyBorder="1" applyAlignment="1" applyProtection="1">
      <alignment horizontal="center" vertical="center"/>
    </xf>
    <xf numFmtId="2" fontId="17" fillId="2" borderId="5" xfId="0" applyNumberFormat="1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2" fillId="8" borderId="0" xfId="0" applyFont="1" applyFill="1" applyAlignment="1" applyProtection="1">
      <alignment horizontal="left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2" fillId="5" borderId="0" xfId="0" applyFont="1" applyFill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0" fillId="3" borderId="8" xfId="0" applyFont="1" applyFill="1" applyBorder="1" applyAlignment="1" applyProtection="1">
      <alignment horizontal="center"/>
    </xf>
    <xf numFmtId="0" fontId="0" fillId="3" borderId="9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25" fillId="2" borderId="0" xfId="0" applyFont="1" applyFill="1" applyAlignment="1" applyProtection="1">
      <alignment horizontal="center" vertical="center"/>
    </xf>
    <xf numFmtId="2" fontId="21" fillId="2" borderId="0" xfId="0" applyNumberFormat="1" applyFont="1" applyFill="1" applyBorder="1" applyAlignment="1" applyProtection="1">
      <alignment horizontal="center" vertical="center"/>
    </xf>
    <xf numFmtId="2" fontId="21" fillId="2" borderId="5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/>
    </xf>
    <xf numFmtId="0" fontId="20" fillId="13" borderId="3" xfId="0" applyFont="1" applyFill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horizontal="center" vertical="center"/>
    </xf>
    <xf numFmtId="0" fontId="7" fillId="12" borderId="7" xfId="0" applyFont="1" applyFill="1" applyBorder="1" applyAlignment="1" applyProtection="1">
      <alignment horizontal="left" vertical="center"/>
    </xf>
    <xf numFmtId="1" fontId="26" fillId="3" borderId="3" xfId="0" applyNumberFormat="1" applyFont="1" applyFill="1" applyBorder="1" applyAlignment="1" applyProtection="1">
      <alignment horizontal="center" vertical="center"/>
    </xf>
    <xf numFmtId="1" fontId="26" fillId="13" borderId="3" xfId="0" applyNumberFormat="1" applyFont="1" applyFill="1" applyBorder="1" applyAlignment="1" applyProtection="1">
      <alignment horizontal="center" vertical="center"/>
    </xf>
    <xf numFmtId="2" fontId="25" fillId="2" borderId="0" xfId="0" applyNumberFormat="1" applyFont="1" applyFill="1" applyAlignment="1" applyProtection="1">
      <alignment horizontal="center" vertical="center"/>
    </xf>
    <xf numFmtId="0" fontId="19" fillId="11" borderId="0" xfId="0" applyFont="1" applyFill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7" fillId="12" borderId="5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center"/>
    </xf>
    <xf numFmtId="0" fontId="1" fillId="13" borderId="13" xfId="0" applyFont="1" applyFill="1" applyBorder="1" applyAlignment="1" applyProtection="1">
      <alignment horizontal="center"/>
    </xf>
    <xf numFmtId="0" fontId="11" fillId="8" borderId="0" xfId="0" applyFont="1" applyFill="1" applyBorder="1" applyAlignment="1" applyProtection="1">
      <alignment horizontal="left" vertical="center"/>
    </xf>
    <xf numFmtId="0" fontId="1" fillId="8" borderId="0" xfId="0" applyFont="1" applyFill="1" applyBorder="1" applyAlignment="1" applyProtection="1"/>
    <xf numFmtId="0" fontId="3" fillId="7" borderId="0" xfId="0" applyFont="1" applyFill="1" applyBorder="1" applyProtection="1"/>
    <xf numFmtId="0" fontId="8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/>
    <xf numFmtId="0" fontId="4" fillId="2" borderId="0" xfId="0" applyFont="1" applyFill="1" applyBorder="1" applyAlignment="1" applyProtection="1"/>
    <xf numFmtId="0" fontId="11" fillId="6" borderId="0" xfId="0" applyFont="1" applyFill="1" applyBorder="1" applyAlignment="1" applyProtection="1">
      <alignment vertical="center"/>
    </xf>
    <xf numFmtId="0" fontId="11" fillId="6" borderId="2" xfId="0" applyFont="1" applyFill="1" applyBorder="1" applyAlignment="1" applyProtection="1">
      <alignment vertical="center"/>
    </xf>
    <xf numFmtId="0" fontId="27" fillId="4" borderId="1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horizontal="center" vertical="center"/>
    </xf>
    <xf numFmtId="0" fontId="27" fillId="4" borderId="0" xfId="0" applyFont="1" applyFill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1" fillId="8" borderId="6" xfId="0" applyFont="1" applyFill="1" applyBorder="1" applyAlignment="1" applyProtection="1">
      <alignment horizontal="center"/>
    </xf>
    <xf numFmtId="0" fontId="7" fillId="8" borderId="5" xfId="0" applyFont="1" applyFill="1" applyBorder="1" applyProtection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/>
    <xf numFmtId="2" fontId="5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center"/>
    </xf>
    <xf numFmtId="2" fontId="18" fillId="2" borderId="0" xfId="0" applyNumberFormat="1" applyFont="1" applyFill="1" applyBorder="1"/>
    <xf numFmtId="164" fontId="18" fillId="2" borderId="0" xfId="0" applyNumberFormat="1" applyFont="1" applyFill="1" applyBorder="1"/>
    <xf numFmtId="1" fontId="18" fillId="2" borderId="0" xfId="0" applyNumberFormat="1" applyFont="1" applyFill="1" applyBorder="1"/>
    <xf numFmtId="165" fontId="18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/>
    <xf numFmtId="0" fontId="7" fillId="12" borderId="14" xfId="0" applyFont="1" applyFill="1" applyBorder="1" applyAlignment="1" applyProtection="1">
      <alignment horizontal="left" vertical="center"/>
    </xf>
    <xf numFmtId="0" fontId="7" fillId="12" borderId="6" xfId="0" applyFont="1" applyFill="1" applyBorder="1" applyAlignment="1" applyProtection="1">
      <alignment horizontal="left" vertical="center"/>
    </xf>
    <xf numFmtId="0" fontId="7" fillId="12" borderId="12" xfId="0" applyFont="1" applyFill="1" applyBorder="1" applyAlignment="1" applyProtection="1">
      <alignment horizontal="left" vertical="center"/>
    </xf>
    <xf numFmtId="0" fontId="7" fillId="12" borderId="15" xfId="0" applyFont="1" applyFill="1" applyBorder="1" applyAlignment="1" applyProtection="1">
      <alignment horizontal="left" vertical="center"/>
    </xf>
    <xf numFmtId="164" fontId="4" fillId="2" borderId="5" xfId="0" applyNumberFormat="1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5" xfId="0" applyFont="1" applyFill="1" applyBorder="1" applyAlignment="1" applyProtection="1"/>
    <xf numFmtId="0" fontId="20" fillId="2" borderId="5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0" xfId="0" applyFont="1" applyFill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left" vertical="top"/>
    </xf>
    <xf numFmtId="164" fontId="4" fillId="2" borderId="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6" xfId="0" applyFont="1" applyFill="1" applyBorder="1" applyAlignment="1" applyProtection="1">
      <alignment horizontal="center" vertical="top"/>
    </xf>
    <xf numFmtId="0" fontId="1" fillId="2" borderId="5" xfId="0" applyFont="1" applyFill="1" applyBorder="1" applyProtection="1"/>
    <xf numFmtId="0" fontId="1" fillId="7" borderId="0" xfId="0" applyFont="1" applyFill="1" applyProtection="1"/>
    <xf numFmtId="0" fontId="1" fillId="8" borderId="0" xfId="0" applyFont="1" applyFill="1" applyProtection="1"/>
    <xf numFmtId="164" fontId="4" fillId="2" borderId="5" xfId="0" applyNumberFormat="1" applyFont="1" applyFill="1" applyBorder="1" applyAlignment="1" applyProtection="1">
      <alignment horizontal="left" vertical="top"/>
    </xf>
    <xf numFmtId="0" fontId="1" fillId="4" borderId="0" xfId="0" applyFont="1" applyFill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28" fillId="4" borderId="0" xfId="0" quotePrefix="1" applyFont="1" applyFill="1" applyBorder="1" applyAlignment="1" applyProtection="1">
      <alignment horizontal="left" vertical="center"/>
    </xf>
    <xf numFmtId="0" fontId="3" fillId="4" borderId="0" xfId="0" applyFont="1" applyFill="1" applyBorder="1" applyProtection="1"/>
    <xf numFmtId="0" fontId="29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8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jpeg"/><Relationship Id="rId4" Type="http://schemas.openxmlformats.org/officeDocument/2006/relationships/image" Target="../media/image4.emf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605118</xdr:colOff>
      <xdr:row>3</xdr:row>
      <xdr:rowOff>156883</xdr:rowOff>
    </xdr:from>
    <xdr:to>
      <xdr:col>4</xdr:col>
      <xdr:colOff>22413</xdr:colOff>
      <xdr:row>7</xdr:row>
      <xdr:rowOff>81700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353" y="661148"/>
          <a:ext cx="1154207" cy="686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50106</xdr:colOff>
      <xdr:row>7</xdr:row>
      <xdr:rowOff>64191</xdr:rowOff>
    </xdr:from>
    <xdr:to>
      <xdr:col>5</xdr:col>
      <xdr:colOff>224118</xdr:colOff>
      <xdr:row>9</xdr:row>
      <xdr:rowOff>65521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13694" y="1117544"/>
          <a:ext cx="174012" cy="371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289926</xdr:colOff>
      <xdr:row>4</xdr:row>
      <xdr:rowOff>102553</xdr:rowOff>
    </xdr:from>
    <xdr:to>
      <xdr:col>25</xdr:col>
      <xdr:colOff>8548</xdr:colOff>
      <xdr:row>6</xdr:row>
      <xdr:rowOff>151282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65426" y="843386"/>
          <a:ext cx="671122" cy="419146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44825</xdr:colOff>
      <xdr:row>4</xdr:row>
      <xdr:rowOff>138963</xdr:rowOff>
    </xdr:from>
    <xdr:to>
      <xdr:col>21</xdr:col>
      <xdr:colOff>279627</xdr:colOff>
      <xdr:row>6</xdr:row>
      <xdr:rowOff>173694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85325" y="879796"/>
          <a:ext cx="552301" cy="405148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268939</xdr:colOff>
      <xdr:row>4</xdr:row>
      <xdr:rowOff>131045</xdr:rowOff>
    </xdr:from>
    <xdr:to>
      <xdr:col>29</xdr:col>
      <xdr:colOff>294602</xdr:colOff>
      <xdr:row>6</xdr:row>
      <xdr:rowOff>84670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b="19608"/>
        <a:stretch>
          <a:fillRect/>
        </a:stretch>
      </xdr:blipFill>
      <xdr:spPr bwMode="auto">
        <a:xfrm>
          <a:off x="9031939" y="871878"/>
          <a:ext cx="660664" cy="324042"/>
        </a:xfrm>
        <a:prstGeom prst="rect">
          <a:avLst/>
        </a:prstGeom>
        <a:noFill/>
      </xdr:spPr>
    </xdr:pic>
    <xdr:clientData/>
  </xdr:twoCellAnchor>
  <xdr:twoCellAnchor editAs="oneCell">
    <xdr:from>
      <xdr:col>34</xdr:col>
      <xdr:colOff>268941</xdr:colOff>
      <xdr:row>4</xdr:row>
      <xdr:rowOff>118858</xdr:rowOff>
    </xdr:from>
    <xdr:to>
      <xdr:col>36</xdr:col>
      <xdr:colOff>282400</xdr:colOff>
      <xdr:row>6</xdr:row>
      <xdr:rowOff>89984</xdr:rowOff>
    </xdr:to>
    <xdr:pic>
      <xdr:nvPicPr>
        <xdr:cNvPr id="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254441" y="859691"/>
          <a:ext cx="648460" cy="3415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172596</xdr:colOff>
      <xdr:row>1</xdr:row>
      <xdr:rowOff>86382</xdr:rowOff>
    </xdr:from>
    <xdr:to>
      <xdr:col>17</xdr:col>
      <xdr:colOff>163732</xdr:colOff>
      <xdr:row>9</xdr:row>
      <xdr:rowOff>17906</xdr:rowOff>
    </xdr:to>
    <xdr:pic>
      <xdr:nvPicPr>
        <xdr:cNvPr id="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417"/>
        <a:stretch>
          <a:fillRect/>
        </a:stretch>
      </xdr:blipFill>
      <xdr:spPr bwMode="auto">
        <a:xfrm rot="16200000">
          <a:off x="5196802" y="810793"/>
          <a:ext cx="1444318" cy="309259"/>
        </a:xfrm>
        <a:prstGeom prst="rect">
          <a:avLst/>
        </a:prstGeom>
        <a:noFill/>
        <a:ln w="9525" algn="ctr">
          <a:noFill/>
          <a:prstDash val="dash"/>
          <a:miter lim="800000"/>
          <a:headEnd/>
          <a:tailEnd/>
        </a:ln>
        <a:effectLst/>
      </xdr:spPr>
    </xdr:pic>
    <xdr:clientData/>
  </xdr:twoCellAnchor>
  <xdr:twoCellAnchor editAs="oneCell">
    <xdr:from>
      <xdr:col>20</xdr:col>
      <xdr:colOff>179916</xdr:colOff>
      <xdr:row>16</xdr:row>
      <xdr:rowOff>1367</xdr:rowOff>
    </xdr:from>
    <xdr:to>
      <xdr:col>23</xdr:col>
      <xdr:colOff>84665</xdr:colOff>
      <xdr:row>26</xdr:row>
      <xdr:rowOff>68225</xdr:rowOff>
    </xdr:to>
    <xdr:pic>
      <xdr:nvPicPr>
        <xdr:cNvPr id="4" name="Picture 2" descr="http://www.toptechnika.cz/Images/products/Vitodens-222-242-F_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668122" y="2982132"/>
          <a:ext cx="846043" cy="1635681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192621</xdr:colOff>
      <xdr:row>34</xdr:row>
      <xdr:rowOff>126999</xdr:rowOff>
    </xdr:from>
    <xdr:to>
      <xdr:col>23</xdr:col>
      <xdr:colOff>158750</xdr:colOff>
      <xdr:row>44</xdr:row>
      <xdr:rowOff>50654</xdr:rowOff>
    </xdr:to>
    <xdr:pic>
      <xdr:nvPicPr>
        <xdr:cNvPr id="6" name="Picture 3" descr="http://www.viessmann.ca/content/dam/internet-ca/press/img/vitodens/b2ta_cutaway_large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733121" y="5884332"/>
          <a:ext cx="918629" cy="151115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213409</xdr:colOff>
      <xdr:row>55</xdr:row>
      <xdr:rowOff>31749</xdr:rowOff>
    </xdr:from>
    <xdr:to>
      <xdr:col>23</xdr:col>
      <xdr:colOff>141407</xdr:colOff>
      <xdr:row>67</xdr:row>
      <xdr:rowOff>808</xdr:rowOff>
    </xdr:to>
    <xdr:pic>
      <xdr:nvPicPr>
        <xdr:cNvPr id="7" name="Picture 6" descr="http://www.toptechnika.cz/Images/products/Vitodens-242-F_2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753909" y="2783416"/>
          <a:ext cx="880498" cy="18732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32183</xdr:colOff>
      <xdr:row>17</xdr:row>
      <xdr:rowOff>84669</xdr:rowOff>
    </xdr:from>
    <xdr:to>
      <xdr:col>1</xdr:col>
      <xdr:colOff>994271</xdr:colOff>
      <xdr:row>26</xdr:row>
      <xdr:rowOff>10584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5683" y="3291419"/>
          <a:ext cx="962088" cy="1354665"/>
        </a:xfrm>
        <a:prstGeom prst="rect">
          <a:avLst/>
        </a:prstGeom>
      </xdr:spPr>
    </xdr:pic>
    <xdr:clientData/>
  </xdr:twoCellAnchor>
  <xdr:twoCellAnchor editAs="oneCell">
    <xdr:from>
      <xdr:col>1</xdr:col>
      <xdr:colOff>52917</xdr:colOff>
      <xdr:row>33</xdr:row>
      <xdr:rowOff>52917</xdr:rowOff>
    </xdr:from>
    <xdr:to>
      <xdr:col>1</xdr:col>
      <xdr:colOff>1059588</xdr:colOff>
      <xdr:row>42</xdr:row>
      <xdr:rowOff>31751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6417" y="5651500"/>
          <a:ext cx="1006671" cy="14075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PanD\TT\2012_06%20Kalkulator%202xx_3xx-G\Dobor_pompy_2xx-G_3xx-G_06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czenia"/>
      <sheetName val="ATS"/>
      <sheetName val="Dane"/>
    </sheetNames>
    <sheetDataSet>
      <sheetData sheetId="0"/>
      <sheetData sheetId="1"/>
      <sheetData sheetId="2">
        <row r="65">
          <cell r="H65" t="str">
            <v>Pasywny (10 W/m²)</v>
          </cell>
        </row>
        <row r="66">
          <cell r="H66" t="str">
            <v>Niskoenergetyczny (40 W/m²)</v>
          </cell>
        </row>
        <row r="67">
          <cell r="H67" t="str">
            <v>Nowe budownictwo szeregowe (60 W/m²)</v>
          </cell>
        </row>
        <row r="68">
          <cell r="H68" t="str">
            <v>Nowe budownictwo (70 W/m²)</v>
          </cell>
        </row>
        <row r="69">
          <cell r="H69" t="str">
            <v>Izolowany, rok budowy &lt; 1995 (80 W/m²)</v>
          </cell>
        </row>
        <row r="70">
          <cell r="H70" t="str">
            <v>Starszy bez izolacji (120 W/m²)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2:R34"/>
  <sheetViews>
    <sheetView topLeftCell="A10" zoomScale="85" zoomScaleNormal="85" workbookViewId="0">
      <selection activeCell="B19" sqref="B19"/>
    </sheetView>
  </sheetViews>
  <sheetFormatPr defaultRowHeight="12.75"/>
  <cols>
    <col min="1" max="3" width="9" style="191"/>
    <col min="4" max="4" width="8.875" style="191" customWidth="1"/>
    <col min="5" max="5" width="8.125" style="191" customWidth="1"/>
    <col min="6" max="6" width="8.25" style="191" customWidth="1"/>
    <col min="7" max="7" width="8.875" style="191" customWidth="1"/>
    <col min="8" max="13" width="9" style="191"/>
    <col min="14" max="14" width="14.5" style="191" bestFit="1" customWidth="1"/>
    <col min="15" max="15" width="9.125" style="191" customWidth="1"/>
    <col min="16" max="16" width="9.25" style="191" bestFit="1" customWidth="1"/>
    <col min="17" max="16384" width="9" style="191"/>
  </cols>
  <sheetData>
    <row r="2" spans="2:18" ht="23.25" customHeight="1">
      <c r="B2" s="189" t="s">
        <v>19</v>
      </c>
      <c r="C2" s="189"/>
      <c r="D2" s="189"/>
      <c r="E2" s="189"/>
      <c r="F2" s="189"/>
      <c r="G2" s="190">
        <f>Wyniki!N9</f>
        <v>4</v>
      </c>
      <c r="H2" s="189"/>
      <c r="I2" s="189"/>
      <c r="J2" s="189"/>
      <c r="K2" s="189"/>
    </row>
    <row r="4" spans="2:18">
      <c r="B4" s="191" t="s">
        <v>20</v>
      </c>
    </row>
    <row r="6" spans="2:18">
      <c r="B6" s="191" t="s">
        <v>9</v>
      </c>
      <c r="H6" s="192" t="s">
        <v>24</v>
      </c>
      <c r="I6" s="192" t="s">
        <v>27</v>
      </c>
      <c r="J6" s="191" t="s">
        <v>23</v>
      </c>
      <c r="L6" s="191" t="s">
        <v>25</v>
      </c>
      <c r="N6" s="191" t="s">
        <v>32</v>
      </c>
      <c r="O6" s="191" t="s">
        <v>34</v>
      </c>
      <c r="P6" s="191" t="s">
        <v>35</v>
      </c>
      <c r="R6" s="191" t="s">
        <v>36</v>
      </c>
    </row>
    <row r="7" spans="2:18">
      <c r="B7" s="191" t="s">
        <v>11</v>
      </c>
      <c r="G7" s="192">
        <f>Wyniki!U9</f>
        <v>0</v>
      </c>
      <c r="H7" s="192">
        <f>Admin!C34</f>
        <v>6</v>
      </c>
      <c r="I7" s="192">
        <f>G7*H7*J7</f>
        <v>0</v>
      </c>
      <c r="J7" s="192">
        <f>Admin!C31</f>
        <v>1.5</v>
      </c>
      <c r="K7" s="192"/>
      <c r="L7" s="193">
        <f>G7*H7</f>
        <v>0</v>
      </c>
      <c r="N7" s="194">
        <f>G7*Admin!C33</f>
        <v>0</v>
      </c>
      <c r="O7" s="194">
        <f>IF(J7&lt;10,L7*J7,L7*10)</f>
        <v>0</v>
      </c>
      <c r="P7" s="195" t="str">
        <f t="shared" ref="P7:P14" si="0">IF(J7&lt;11,"nd",L7)</f>
        <v>nd</v>
      </c>
    </row>
    <row r="8" spans="2:18">
      <c r="B8" s="191" t="s">
        <v>10</v>
      </c>
      <c r="G8" s="192">
        <f>Wyniki!X9</f>
        <v>0</v>
      </c>
      <c r="H8" s="196">
        <f>Admin!D34</f>
        <v>6</v>
      </c>
      <c r="I8" s="192">
        <f>G8*H8*J8</f>
        <v>0</v>
      </c>
      <c r="J8" s="192">
        <f>Admin!D31</f>
        <v>5</v>
      </c>
      <c r="K8" s="192"/>
      <c r="L8" s="193">
        <f t="shared" ref="L8:L14" si="1">G8*H8</f>
        <v>0</v>
      </c>
      <c r="N8" s="194">
        <f>G8*Admin!D33</f>
        <v>0</v>
      </c>
      <c r="O8" s="194">
        <f t="shared" ref="O8:O14" si="2">IF(J8&lt;10,L8*J8,L8*10)</f>
        <v>0</v>
      </c>
      <c r="P8" s="195" t="str">
        <f t="shared" si="0"/>
        <v>nd</v>
      </c>
    </row>
    <row r="9" spans="2:18">
      <c r="B9" s="191" t="s">
        <v>12</v>
      </c>
      <c r="G9" s="192">
        <f>Wyniki!AA9</f>
        <v>1</v>
      </c>
      <c r="H9" s="196">
        <f>Admin!E34</f>
        <v>7.5</v>
      </c>
      <c r="I9" s="192">
        <f t="shared" ref="I9:I14" si="3">G9*H9*J9</f>
        <v>30</v>
      </c>
      <c r="J9" s="192">
        <f>Admin!E31</f>
        <v>4</v>
      </c>
      <c r="K9" s="192"/>
      <c r="L9" s="193">
        <f t="shared" si="1"/>
        <v>7.5</v>
      </c>
      <c r="N9" s="194">
        <f>G9*Admin!E33</f>
        <v>977.5920000000001</v>
      </c>
      <c r="O9" s="194">
        <f t="shared" si="2"/>
        <v>30</v>
      </c>
      <c r="P9" s="195" t="str">
        <f t="shared" si="0"/>
        <v>nd</v>
      </c>
    </row>
    <row r="10" spans="2:18">
      <c r="B10" s="191" t="s">
        <v>13</v>
      </c>
      <c r="G10" s="192">
        <f>Wyniki!AC9</f>
        <v>0</v>
      </c>
      <c r="H10" s="196">
        <f>Admin!F34</f>
        <v>8.3333333333333339</v>
      </c>
      <c r="I10" s="192">
        <f t="shared" si="3"/>
        <v>0</v>
      </c>
      <c r="J10" s="192">
        <f>Admin!F31</f>
        <v>6</v>
      </c>
      <c r="K10" s="192"/>
      <c r="L10" s="193">
        <f t="shared" si="1"/>
        <v>0</v>
      </c>
      <c r="N10" s="194">
        <f>G10*Admin!F33</f>
        <v>0</v>
      </c>
      <c r="O10" s="194">
        <f t="shared" si="2"/>
        <v>0</v>
      </c>
      <c r="P10" s="195" t="str">
        <f t="shared" si="0"/>
        <v>nd</v>
      </c>
    </row>
    <row r="11" spans="2:18">
      <c r="B11" s="191" t="s">
        <v>14</v>
      </c>
      <c r="G11" s="192">
        <f>Wyniki!AE9</f>
        <v>0</v>
      </c>
      <c r="H11" s="196">
        <f>Admin!G34</f>
        <v>15</v>
      </c>
      <c r="I11" s="192">
        <f t="shared" si="3"/>
        <v>0</v>
      </c>
      <c r="J11" s="192">
        <f>Admin!G31</f>
        <v>6</v>
      </c>
      <c r="K11" s="192"/>
      <c r="L11" s="193">
        <f t="shared" si="1"/>
        <v>0</v>
      </c>
      <c r="N11" s="194">
        <f>G11*Admin!G33</f>
        <v>0</v>
      </c>
      <c r="O11" s="194">
        <f>IF(J11&lt;10,L11*J11,L11*10)</f>
        <v>0</v>
      </c>
      <c r="P11" s="195" t="str">
        <f t="shared" si="0"/>
        <v>nd</v>
      </c>
    </row>
    <row r="12" spans="2:18">
      <c r="B12" s="191" t="s">
        <v>15</v>
      </c>
      <c r="G12" s="192">
        <f>Wyniki!AH9</f>
        <v>1</v>
      </c>
      <c r="H12" s="196">
        <f>Admin!H34</f>
        <v>10</v>
      </c>
      <c r="I12" s="192">
        <f t="shared" si="3"/>
        <v>130</v>
      </c>
      <c r="J12" s="192">
        <f>Admin!H31</f>
        <v>13</v>
      </c>
      <c r="K12" s="192"/>
      <c r="L12" s="193">
        <f t="shared" si="1"/>
        <v>10</v>
      </c>
      <c r="N12" s="194">
        <f>G12*Admin!H33</f>
        <v>5295.29</v>
      </c>
      <c r="O12" s="194">
        <f t="shared" si="2"/>
        <v>100</v>
      </c>
      <c r="P12" s="195">
        <f t="shared" si="0"/>
        <v>10</v>
      </c>
    </row>
    <row r="13" spans="2:18">
      <c r="B13" s="191" t="s">
        <v>17</v>
      </c>
      <c r="G13" s="192">
        <f>Wyniki!AJ9</f>
        <v>0</v>
      </c>
      <c r="H13" s="196">
        <f>Admin!I34</f>
        <v>10</v>
      </c>
      <c r="I13" s="192">
        <f t="shared" si="3"/>
        <v>0</v>
      </c>
      <c r="J13" s="192">
        <f>Admin!I31</f>
        <v>15</v>
      </c>
      <c r="K13" s="192"/>
      <c r="L13" s="193">
        <f t="shared" si="1"/>
        <v>0</v>
      </c>
      <c r="N13" s="194">
        <f>G13*Admin!I33</f>
        <v>0</v>
      </c>
      <c r="O13" s="194">
        <f t="shared" si="2"/>
        <v>0</v>
      </c>
      <c r="P13" s="195">
        <f t="shared" si="0"/>
        <v>0</v>
      </c>
    </row>
    <row r="14" spans="2:18">
      <c r="B14" s="191" t="s">
        <v>16</v>
      </c>
      <c r="G14" s="192">
        <f>Wyniki!AL9</f>
        <v>0</v>
      </c>
      <c r="H14" s="196">
        <f>Admin!J34</f>
        <v>11.875</v>
      </c>
      <c r="I14" s="192">
        <f t="shared" si="3"/>
        <v>0</v>
      </c>
      <c r="J14" s="192">
        <f>Admin!J31</f>
        <v>16</v>
      </c>
      <c r="K14" s="192"/>
      <c r="L14" s="193">
        <f t="shared" si="1"/>
        <v>0</v>
      </c>
      <c r="N14" s="194">
        <f>G14*Admin!J33</f>
        <v>0</v>
      </c>
      <c r="O14" s="194">
        <f t="shared" si="2"/>
        <v>0</v>
      </c>
      <c r="P14" s="195">
        <f t="shared" si="0"/>
        <v>0</v>
      </c>
    </row>
    <row r="17" spans="2:18">
      <c r="B17" s="191" t="s">
        <v>18</v>
      </c>
      <c r="G17" s="197">
        <f>(G2*(G7*Admin!C33+G8*Admin!D33+G9*Admin!E33+G10*Admin!F33+G11*Admin!G33+G12*Admin!H33+G13*Admin!I33+G14*Admin!J33))/(3.5*5820)</f>
        <v>1.2317883161512027</v>
      </c>
      <c r="I17" s="198">
        <f>SUM(I7:I14)</f>
        <v>160</v>
      </c>
      <c r="L17" s="198">
        <f>SUM(L7:L14)</f>
        <v>17.5</v>
      </c>
      <c r="P17" s="198">
        <f>INT(SUM(P7:P14))</f>
        <v>10</v>
      </c>
      <c r="R17" s="199">
        <f>P17*60/860*35</f>
        <v>24.418604651162791</v>
      </c>
    </row>
    <row r="19" spans="2:18" ht="20.25" customHeight="1">
      <c r="B19" s="191" t="s">
        <v>26</v>
      </c>
      <c r="L19" s="198"/>
      <c r="O19" s="198">
        <f>SUM(O7:O14)</f>
        <v>130</v>
      </c>
    </row>
    <row r="20" spans="2:18" ht="20.25" customHeight="1">
      <c r="L20" s="198"/>
      <c r="O20" s="198"/>
    </row>
    <row r="22" spans="2:18">
      <c r="B22" s="191" t="s">
        <v>33</v>
      </c>
      <c r="N22" s="197">
        <f>SUM(N7:N14)/1000</f>
        <v>6.2728819999999992</v>
      </c>
    </row>
    <row r="24" spans="2:18">
      <c r="B24" s="191" t="s">
        <v>30</v>
      </c>
      <c r="N24" s="200">
        <f>N22/9.71*2.2</f>
        <v>1.4212502986611737</v>
      </c>
    </row>
    <row r="26" spans="2:18">
      <c r="B26" s="191" t="s">
        <v>31</v>
      </c>
      <c r="N26" s="200">
        <f>N24*365</f>
        <v>518.75635901132841</v>
      </c>
    </row>
    <row r="29" spans="2:18">
      <c r="C29" s="192" t="s">
        <v>11</v>
      </c>
      <c r="D29" s="192" t="s">
        <v>10</v>
      </c>
      <c r="E29" s="201" t="s">
        <v>29</v>
      </c>
      <c r="F29" s="201"/>
      <c r="G29" s="201"/>
      <c r="H29" s="201" t="s">
        <v>28</v>
      </c>
      <c r="I29" s="201"/>
      <c r="J29" s="201"/>
    </row>
    <row r="30" spans="2:18">
      <c r="B30" s="191" t="s">
        <v>2</v>
      </c>
      <c r="C30" s="191">
        <f>Wyniki!AT20</f>
        <v>38</v>
      </c>
      <c r="D30" s="191">
        <f>Wyniki!AV20</f>
        <v>42</v>
      </c>
      <c r="E30" s="191">
        <f>Wyniki!AX20</f>
        <v>38</v>
      </c>
      <c r="F30" s="191">
        <f>Wyniki!AZ20</f>
        <v>38</v>
      </c>
      <c r="G30" s="191">
        <f>Wyniki!BB20</f>
        <v>40</v>
      </c>
      <c r="H30" s="191">
        <f>Wyniki!BE20</f>
        <v>45</v>
      </c>
      <c r="I30" s="191">
        <v>45</v>
      </c>
      <c r="J30" s="191">
        <f>Wyniki!BG20</f>
        <v>45</v>
      </c>
      <c r="K30" s="191" t="s">
        <v>54</v>
      </c>
    </row>
    <row r="31" spans="2:18">
      <c r="B31" s="191" t="s">
        <v>3</v>
      </c>
      <c r="C31" s="191">
        <f>Wyniki!AT21</f>
        <v>1.5</v>
      </c>
      <c r="D31" s="191">
        <f>Wyniki!AV21</f>
        <v>5</v>
      </c>
      <c r="E31" s="191">
        <f>Wyniki!AX21</f>
        <v>4</v>
      </c>
      <c r="F31" s="191">
        <f>Wyniki!AZ21</f>
        <v>6</v>
      </c>
      <c r="G31" s="191">
        <f>Wyniki!BB21</f>
        <v>6</v>
      </c>
      <c r="H31" s="191">
        <f>Wyniki!BE21</f>
        <v>13</v>
      </c>
      <c r="I31" s="191">
        <f>Wyniki!BF21</f>
        <v>15</v>
      </c>
      <c r="J31" s="191">
        <f>Wyniki!BG21</f>
        <v>16</v>
      </c>
      <c r="K31" s="191" t="s">
        <v>4</v>
      </c>
    </row>
    <row r="32" spans="2:18">
      <c r="B32" s="191" t="s">
        <v>5</v>
      </c>
      <c r="C32" s="191">
        <f>Wyniki!AT22</f>
        <v>9</v>
      </c>
      <c r="D32" s="191">
        <f>Wyniki!AV22</f>
        <v>30</v>
      </c>
      <c r="E32" s="191">
        <f>Wyniki!AX22</f>
        <v>30</v>
      </c>
      <c r="F32" s="191">
        <f>Wyniki!AZ22</f>
        <v>50</v>
      </c>
      <c r="G32" s="191">
        <f>Wyniki!BB22</f>
        <v>90</v>
      </c>
      <c r="H32" s="191">
        <f>Wyniki!BE22</f>
        <v>130</v>
      </c>
      <c r="I32" s="191">
        <f>Wyniki!BF22</f>
        <v>150</v>
      </c>
      <c r="J32" s="191">
        <f>Wyniki!BG22</f>
        <v>190</v>
      </c>
      <c r="K32" s="191" t="s">
        <v>1</v>
      </c>
      <c r="N32" s="191">
        <v>1.1638E-3</v>
      </c>
    </row>
    <row r="33" spans="2:11">
      <c r="B33" s="191" t="s">
        <v>6</v>
      </c>
      <c r="C33" s="194">
        <f>(C30-10)*$N$32*1000*C32</f>
        <v>293.27760000000006</v>
      </c>
      <c r="D33" s="194">
        <f t="shared" ref="D33:J33" si="4">(D30-10)*$N$32*1000*D32</f>
        <v>1117.248</v>
      </c>
      <c r="E33" s="194">
        <f t="shared" si="4"/>
        <v>977.5920000000001</v>
      </c>
      <c r="F33" s="194">
        <f t="shared" si="4"/>
        <v>1629.3200000000002</v>
      </c>
      <c r="G33" s="194">
        <f t="shared" si="4"/>
        <v>3142.26</v>
      </c>
      <c r="H33" s="194">
        <f t="shared" si="4"/>
        <v>5295.29</v>
      </c>
      <c r="I33" s="194">
        <f t="shared" si="4"/>
        <v>6109.95</v>
      </c>
      <c r="J33" s="194">
        <f t="shared" si="4"/>
        <v>7739.2699999999995</v>
      </c>
      <c r="K33" s="191" t="s">
        <v>0</v>
      </c>
    </row>
    <row r="34" spans="2:11">
      <c r="B34" s="191" t="s">
        <v>21</v>
      </c>
      <c r="C34" s="202">
        <f t="shared" ref="C34:J34" si="5">C32/C31</f>
        <v>6</v>
      </c>
      <c r="D34" s="202">
        <f t="shared" si="5"/>
        <v>6</v>
      </c>
      <c r="E34" s="202">
        <f t="shared" si="5"/>
        <v>7.5</v>
      </c>
      <c r="F34" s="202">
        <f t="shared" si="5"/>
        <v>8.3333333333333339</v>
      </c>
      <c r="G34" s="202">
        <f t="shared" si="5"/>
        <v>15</v>
      </c>
      <c r="H34" s="202">
        <f t="shared" si="5"/>
        <v>10</v>
      </c>
      <c r="I34" s="202">
        <f t="shared" si="5"/>
        <v>10</v>
      </c>
      <c r="J34" s="202">
        <f t="shared" si="5"/>
        <v>11.875</v>
      </c>
      <c r="K34" s="191" t="s">
        <v>22</v>
      </c>
    </row>
  </sheetData>
  <mergeCells count="2">
    <mergeCell ref="E29:G29"/>
    <mergeCell ref="H29:J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BW105"/>
  <sheetViews>
    <sheetView tabSelected="1" zoomScale="85" zoomScaleNormal="85" workbookViewId="0">
      <selection activeCell="P11" sqref="P11"/>
    </sheetView>
  </sheetViews>
  <sheetFormatPr defaultRowHeight="12.75"/>
  <cols>
    <col min="1" max="1" width="0.875" style="1" customWidth="1"/>
    <col min="2" max="2" width="14.625" style="1" customWidth="1"/>
    <col min="3" max="9" width="4.125" style="2" customWidth="1"/>
    <col min="10" max="11" width="4.25" style="2" customWidth="1"/>
    <col min="12" max="12" width="4.125" style="2" customWidth="1"/>
    <col min="13" max="13" width="4.625" style="2" customWidth="1"/>
    <col min="14" max="18" width="4.125" style="2" customWidth="1"/>
    <col min="19" max="19" width="2.625" style="2" customWidth="1"/>
    <col min="20" max="20" width="0.875" style="2" customWidth="1"/>
    <col min="21" max="39" width="4.125" style="2" customWidth="1"/>
    <col min="40" max="40" width="1.5" style="2" customWidth="1"/>
    <col min="41" max="41" width="3" style="2" customWidth="1"/>
    <col min="42" max="44" width="4.125" style="2" customWidth="1"/>
    <col min="45" max="45" width="9.25" style="2" customWidth="1"/>
    <col min="46" max="46" width="4.125" style="2" customWidth="1"/>
    <col min="47" max="47" width="4.625" style="2" customWidth="1"/>
    <col min="48" max="48" width="4.125" style="2" customWidth="1"/>
    <col min="49" max="49" width="1.375" style="2" customWidth="1"/>
    <col min="50" max="50" width="4.125" style="2" customWidth="1"/>
    <col min="51" max="51" width="5.5" style="2" customWidth="1"/>
    <col min="52" max="52" width="4.125" style="2" customWidth="1"/>
    <col min="53" max="53" width="4.875" style="2" customWidth="1"/>
    <col min="54" max="54" width="4.375" style="2" customWidth="1"/>
    <col min="55" max="55" width="5.375" style="2" customWidth="1"/>
    <col min="56" max="56" width="2.125" style="2" hidden="1" customWidth="1"/>
    <col min="57" max="57" width="4.625" style="2" customWidth="1"/>
    <col min="58" max="59" width="4.5" style="2" customWidth="1"/>
    <col min="60" max="60" width="1.75" style="2" customWidth="1"/>
    <col min="61" max="75" width="4.125" style="2" customWidth="1"/>
    <col min="76" max="16384" width="9" style="1"/>
  </cols>
  <sheetData>
    <row r="2" spans="2:75" ht="18">
      <c r="B2" s="168" t="s">
        <v>81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U2" s="171" t="s">
        <v>70</v>
      </c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P2" s="135" t="s">
        <v>72</v>
      </c>
      <c r="AQ2" s="130"/>
      <c r="AR2" s="130"/>
      <c r="AS2" s="130"/>
      <c r="AT2" s="130"/>
      <c r="AU2" s="130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</row>
    <row r="3" spans="2:75"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P3" s="7">
        <v>3</v>
      </c>
      <c r="AQ3" s="8" t="s">
        <v>59</v>
      </c>
      <c r="AR3" s="1"/>
      <c r="AS3" s="1"/>
      <c r="AT3" s="1"/>
      <c r="AU3" s="1"/>
    </row>
    <row r="4" spans="2:75" ht="15">
      <c r="G4" s="148" t="s">
        <v>40</v>
      </c>
      <c r="H4" s="148"/>
      <c r="I4" s="148"/>
      <c r="J4" s="148"/>
      <c r="K4" s="148"/>
      <c r="L4" s="148"/>
      <c r="M4" s="148"/>
      <c r="N4" s="148"/>
      <c r="O4" s="148"/>
      <c r="U4" s="170" t="s">
        <v>11</v>
      </c>
      <c r="V4" s="170"/>
      <c r="W4" s="5"/>
      <c r="X4" s="170" t="s">
        <v>10</v>
      </c>
      <c r="Y4" s="170"/>
      <c r="Z4" s="5"/>
      <c r="AA4" s="170" t="s">
        <v>29</v>
      </c>
      <c r="AB4" s="170"/>
      <c r="AC4" s="170"/>
      <c r="AD4" s="170"/>
      <c r="AE4" s="170"/>
      <c r="AF4" s="170"/>
      <c r="AG4" s="6"/>
      <c r="AH4" s="170" t="s">
        <v>28</v>
      </c>
      <c r="AI4" s="170"/>
      <c r="AJ4" s="170"/>
      <c r="AK4" s="170"/>
      <c r="AL4" s="170"/>
      <c r="AM4" s="170"/>
      <c r="AN4" s="3"/>
      <c r="AO4" s="3"/>
      <c r="AP4" s="7">
        <v>2</v>
      </c>
      <c r="AQ4" s="8" t="s">
        <v>62</v>
      </c>
    </row>
    <row r="5" spans="2:75" ht="14.25" customHeight="1">
      <c r="G5" s="152" t="s">
        <v>42</v>
      </c>
      <c r="H5" s="152"/>
      <c r="I5" s="152"/>
      <c r="J5" s="152"/>
      <c r="K5" s="152"/>
      <c r="L5" s="152"/>
      <c r="M5" s="152"/>
      <c r="N5" s="152"/>
      <c r="O5" s="152"/>
      <c r="P5" s="4" t="s">
        <v>43</v>
      </c>
      <c r="Q5" s="4"/>
      <c r="AN5" s="6"/>
      <c r="AO5" s="6"/>
      <c r="AP5" s="7">
        <v>1</v>
      </c>
      <c r="AQ5" s="8" t="s">
        <v>61</v>
      </c>
      <c r="AV5" s="9"/>
    </row>
    <row r="6" spans="2:75" ht="15" thickBot="1">
      <c r="G6" s="10"/>
      <c r="U6" s="1"/>
      <c r="V6" s="1"/>
      <c r="W6" s="1"/>
      <c r="X6" s="1"/>
      <c r="Y6" s="1"/>
      <c r="Z6" s="5"/>
      <c r="AC6" s="5"/>
      <c r="AF6" s="5"/>
      <c r="AI6" s="5"/>
      <c r="AP6" s="7">
        <v>0</v>
      </c>
      <c r="AQ6" s="8" t="s">
        <v>60</v>
      </c>
      <c r="AV6" s="9"/>
    </row>
    <row r="7" spans="2:75" ht="15.75" thickBot="1">
      <c r="G7" s="151" t="s">
        <v>41</v>
      </c>
      <c r="H7" s="151"/>
      <c r="I7" s="151"/>
      <c r="J7" s="151"/>
      <c r="K7" s="151"/>
      <c r="L7" s="151"/>
      <c r="M7" s="151"/>
      <c r="N7" s="149">
        <v>139</v>
      </c>
      <c r="O7" s="150"/>
      <c r="P7" s="2">
        <f>N7</f>
        <v>139</v>
      </c>
      <c r="AJ7" s="11"/>
      <c r="AK7" s="11"/>
      <c r="AL7" s="11"/>
      <c r="AM7" s="11"/>
      <c r="AV7" s="9"/>
    </row>
    <row r="8" spans="2:75" ht="13.5" thickBot="1">
      <c r="C8" s="1"/>
      <c r="D8" s="1"/>
      <c r="G8" s="1"/>
      <c r="AA8" s="146" t="s">
        <v>49</v>
      </c>
      <c r="AB8" s="146"/>
      <c r="AC8" s="146" t="s">
        <v>46</v>
      </c>
      <c r="AD8" s="146"/>
      <c r="AE8" s="146" t="s">
        <v>48</v>
      </c>
      <c r="AF8" s="146"/>
      <c r="AH8" s="146" t="s">
        <v>47</v>
      </c>
      <c r="AI8" s="146"/>
      <c r="AJ8" s="155" t="s">
        <v>7</v>
      </c>
      <c r="AK8" s="155"/>
      <c r="AL8" s="155" t="s">
        <v>8</v>
      </c>
      <c r="AM8" s="155"/>
      <c r="AP8" s="20">
        <v>0</v>
      </c>
      <c r="AQ8" s="8" t="s">
        <v>78</v>
      </c>
      <c r="AV8" s="9"/>
    </row>
    <row r="9" spans="2:75" ht="15.75" thickBot="1">
      <c r="B9" s="13" t="s">
        <v>55</v>
      </c>
      <c r="C9" s="14">
        <f>N7*C10/1000</f>
        <v>8.34</v>
      </c>
      <c r="D9" s="15" t="s">
        <v>58</v>
      </c>
      <c r="G9" s="151" t="s">
        <v>44</v>
      </c>
      <c r="H9" s="151"/>
      <c r="I9" s="151"/>
      <c r="J9" s="151"/>
      <c r="K9" s="151"/>
      <c r="L9" s="151"/>
      <c r="M9" s="151"/>
      <c r="N9" s="149">
        <v>4</v>
      </c>
      <c r="O9" s="150"/>
      <c r="P9" s="2">
        <f>N9</f>
        <v>4</v>
      </c>
      <c r="U9" s="153">
        <v>0</v>
      </c>
      <c r="V9" s="154"/>
      <c r="W9" s="16"/>
      <c r="X9" s="153">
        <v>0</v>
      </c>
      <c r="Y9" s="154"/>
      <c r="Z9" s="16"/>
      <c r="AA9" s="153">
        <v>1</v>
      </c>
      <c r="AB9" s="154"/>
      <c r="AC9" s="153">
        <v>0</v>
      </c>
      <c r="AD9" s="154"/>
      <c r="AE9" s="153">
        <v>0</v>
      </c>
      <c r="AF9" s="154"/>
      <c r="AH9" s="153">
        <v>1</v>
      </c>
      <c r="AI9" s="154"/>
      <c r="AJ9" s="153">
        <v>0</v>
      </c>
      <c r="AK9" s="154"/>
      <c r="AL9" s="153">
        <v>0</v>
      </c>
      <c r="AM9" s="154"/>
      <c r="AP9" s="20">
        <v>-1</v>
      </c>
      <c r="AQ9" s="8" t="s">
        <v>79</v>
      </c>
      <c r="AS9" s="1"/>
      <c r="AV9" s="9"/>
    </row>
    <row r="10" spans="2:75" ht="12.75" customHeight="1">
      <c r="B10" s="18"/>
      <c r="C10" s="17">
        <f>IF(G5="Nowe budownictwo szeregowe (60 W/m²)",60,IF(G5="Pasywny (10 W/m²)",10,IF(G5="Niskoenergetyczny (40 W/m²)",40,IF(G5="Nowe budownictwo (70 W/m²)",70,IF(G5="Izolowany, rok budowy &lt; 1995 (80 W/m²)",80,IF(G5="Starszy bez izolacji (120 W/m²)",120,0))))))</f>
        <v>60</v>
      </c>
      <c r="AJ10" s="169"/>
      <c r="AK10" s="169"/>
      <c r="AR10" s="1"/>
      <c r="AS10" s="20"/>
    </row>
    <row r="11" spans="2:75">
      <c r="R11" s="17">
        <f>U9+X9+AA9+AC9+AE9+AH9+AJ9+AL9</f>
        <v>2</v>
      </c>
      <c r="AP11" s="19">
        <v>590</v>
      </c>
      <c r="AQ11" s="1" t="s">
        <v>73</v>
      </c>
      <c r="AR11" s="1"/>
      <c r="AS11" s="20"/>
    </row>
    <row r="12" spans="2:75">
      <c r="AP12" s="21">
        <v>590</v>
      </c>
      <c r="AQ12" s="1" t="s">
        <v>88</v>
      </c>
      <c r="AR12" s="1"/>
      <c r="AS12" s="20"/>
    </row>
    <row r="13" spans="2:75" s="15" customFormat="1" ht="19.5" customHeight="1">
      <c r="B13" s="183" t="s">
        <v>87</v>
      </c>
      <c r="C13" s="184"/>
      <c r="D13" s="184"/>
      <c r="E13" s="184" t="s">
        <v>103</v>
      </c>
      <c r="F13" s="184"/>
      <c r="G13" s="184"/>
      <c r="H13" s="184"/>
      <c r="I13" s="184" t="s">
        <v>63</v>
      </c>
      <c r="J13" s="184"/>
      <c r="K13" s="184"/>
      <c r="L13" s="184"/>
      <c r="M13" s="184"/>
      <c r="N13" s="184"/>
      <c r="O13" s="185" t="s">
        <v>71</v>
      </c>
      <c r="P13" s="185"/>
      <c r="Q13" s="185"/>
      <c r="R13" s="6"/>
      <c r="S13" s="6"/>
      <c r="T13" s="6"/>
      <c r="U13" s="183" t="s">
        <v>87</v>
      </c>
      <c r="V13" s="184"/>
      <c r="W13" s="184"/>
      <c r="X13" s="184"/>
      <c r="Y13" s="184"/>
      <c r="Z13" s="184"/>
      <c r="AA13" s="184" t="s">
        <v>103</v>
      </c>
      <c r="AB13" s="184"/>
      <c r="AC13" s="184"/>
      <c r="AD13" s="184"/>
      <c r="AE13" s="184" t="s">
        <v>63</v>
      </c>
      <c r="AF13" s="184"/>
      <c r="AG13" s="184"/>
      <c r="AH13" s="184"/>
      <c r="AI13" s="184"/>
      <c r="AJ13" s="185" t="s">
        <v>71</v>
      </c>
      <c r="AK13" s="185"/>
      <c r="AL13" s="185"/>
      <c r="AM13" s="185"/>
      <c r="AN13" s="105"/>
      <c r="AO13" s="105"/>
      <c r="AP13" s="22">
        <v>199</v>
      </c>
      <c r="AQ13" s="1" t="s">
        <v>74</v>
      </c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</row>
    <row r="14" spans="2:75">
      <c r="C14" s="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P14" s="1"/>
      <c r="AQ14" s="1"/>
    </row>
    <row r="15" spans="2:75" s="27" customFormat="1" ht="19.5" customHeight="1">
      <c r="B15" s="140" t="s">
        <v>95</v>
      </c>
      <c r="C15" s="140"/>
      <c r="D15" s="140"/>
      <c r="E15" s="24"/>
      <c r="F15" s="24"/>
      <c r="G15" s="24"/>
      <c r="H15" s="24"/>
      <c r="I15" s="25"/>
      <c r="J15" s="26"/>
      <c r="K15" s="26">
        <v>19</v>
      </c>
      <c r="L15" s="26">
        <v>26</v>
      </c>
      <c r="M15" s="26">
        <v>35</v>
      </c>
      <c r="O15" s="28" t="s">
        <v>58</v>
      </c>
      <c r="U15" s="140" t="s">
        <v>100</v>
      </c>
      <c r="V15" s="140"/>
      <c r="W15" s="140"/>
      <c r="X15" s="140"/>
      <c r="Y15" s="140"/>
      <c r="Z15" s="140"/>
      <c r="AA15" s="181"/>
      <c r="AB15" s="181"/>
      <c r="AC15" s="181"/>
      <c r="AD15" s="182"/>
      <c r="AE15" s="26">
        <v>13</v>
      </c>
      <c r="AF15" s="26">
        <v>19</v>
      </c>
      <c r="AG15" s="26">
        <v>26</v>
      </c>
      <c r="AH15" s="26"/>
      <c r="AJ15" s="28" t="s">
        <v>58</v>
      </c>
      <c r="AL15" s="65"/>
      <c r="AM15" s="23"/>
      <c r="AP15" s="130" t="s">
        <v>75</v>
      </c>
      <c r="AQ15" s="130"/>
      <c r="AR15" s="130"/>
      <c r="AS15" s="130"/>
      <c r="AT15" s="130"/>
      <c r="AU15" s="130"/>
      <c r="AV15" s="227" t="s">
        <v>91</v>
      </c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2:75" s="27" customFormat="1" ht="15">
      <c r="B16" s="84"/>
      <c r="D16" s="84"/>
      <c r="E16" s="30"/>
      <c r="F16" s="30"/>
      <c r="G16" s="30"/>
      <c r="H16" s="30"/>
      <c r="J16" s="34"/>
      <c r="K16" s="33"/>
      <c r="L16" s="32"/>
      <c r="M16" s="33"/>
      <c r="O16" s="28"/>
      <c r="U16" s="84"/>
      <c r="V16" s="65"/>
      <c r="W16" s="84"/>
      <c r="X16" s="20"/>
      <c r="Y16" s="62"/>
      <c r="Z16" s="62"/>
      <c r="AA16" s="20"/>
      <c r="AB16" s="20"/>
      <c r="AE16" s="32"/>
      <c r="AF16" s="64"/>
      <c r="AG16" s="63"/>
      <c r="AH16" s="177"/>
      <c r="AI16" s="65"/>
      <c r="AJ16" s="28"/>
      <c r="AL16" s="65"/>
      <c r="AM16" s="23"/>
      <c r="AP16" s="23" t="s">
        <v>80</v>
      </c>
      <c r="AQ16" s="23"/>
      <c r="AR16" s="23"/>
      <c r="AS16" s="23"/>
      <c r="AT16" s="23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</row>
    <row r="17" spans="2:75" s="27" customFormat="1" ht="12.75" customHeight="1">
      <c r="B17" s="84"/>
      <c r="C17" s="90" t="s">
        <v>84</v>
      </c>
      <c r="D17" s="84"/>
      <c r="E17" s="30"/>
      <c r="F17" s="30"/>
      <c r="G17" s="30"/>
      <c r="H17" s="30"/>
      <c r="J17" s="34"/>
      <c r="K17" s="33"/>
      <c r="L17" s="32"/>
      <c r="M17" s="33"/>
      <c r="O17" s="28"/>
      <c r="U17" s="84"/>
      <c r="W17" s="84"/>
      <c r="X17" s="20"/>
      <c r="Y17" s="90" t="s">
        <v>84</v>
      </c>
      <c r="Z17" s="62"/>
      <c r="AA17" s="20"/>
      <c r="AB17" s="20"/>
      <c r="AE17" s="32"/>
      <c r="AF17" s="33"/>
      <c r="AG17" s="32"/>
      <c r="AH17" s="177"/>
      <c r="AI17" s="34"/>
      <c r="AJ17" s="28"/>
      <c r="AL17" s="65"/>
      <c r="AM17" s="23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</row>
    <row r="18" spans="2:75" s="27" customFormat="1" ht="12.75" customHeight="1">
      <c r="B18" s="84"/>
      <c r="C18" s="87"/>
      <c r="D18" s="30"/>
      <c r="E18" s="30"/>
      <c r="F18" s="30"/>
      <c r="G18" s="30"/>
      <c r="H18" s="30"/>
      <c r="J18" s="88"/>
      <c r="K18" s="58">
        <f>IF(K20&gt;$AW$34*0.9,IF(K19&gt;$AW$35*0.9,3,2),IF(K19&gt;$AW$35*0.9,1,0))</f>
        <v>3</v>
      </c>
      <c r="L18" s="63"/>
      <c r="M18" s="64"/>
      <c r="O18" s="28"/>
      <c r="U18" s="84"/>
      <c r="V18" s="84"/>
      <c r="W18" s="84"/>
      <c r="X18" s="20"/>
      <c r="Y18" s="62"/>
      <c r="Z18" s="62"/>
      <c r="AA18" s="20"/>
      <c r="AB18" s="20"/>
      <c r="AE18" s="38">
        <f>IF(AE20&gt;$AW$34*0.9,IF(AE19&gt;$AW$35*0.9,3,2),IF(AE19&gt;$AW$35*0.9,1,0))</f>
        <v>2</v>
      </c>
      <c r="AF18" s="33"/>
      <c r="AG18" s="32"/>
      <c r="AH18" s="177"/>
      <c r="AI18" s="34"/>
      <c r="AJ18" s="28"/>
      <c r="AL18" s="65"/>
      <c r="AM18" s="23"/>
      <c r="AP18" s="75"/>
      <c r="AQ18" s="43"/>
      <c r="AR18" s="43"/>
      <c r="AS18" s="43"/>
      <c r="AT18" s="133" t="s">
        <v>11</v>
      </c>
      <c r="AU18" s="133"/>
      <c r="AV18" s="131" t="s">
        <v>10</v>
      </c>
      <c r="AW18" s="131"/>
      <c r="AX18" s="173" t="s">
        <v>29</v>
      </c>
      <c r="AY18" s="173"/>
      <c r="AZ18" s="173"/>
      <c r="BA18" s="173"/>
      <c r="BB18" s="173"/>
      <c r="BC18" s="173"/>
      <c r="BD18" s="115"/>
      <c r="BE18" s="173" t="s">
        <v>28</v>
      </c>
      <c r="BF18" s="173"/>
      <c r="BG18" s="173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</row>
    <row r="19" spans="2:75" s="27" customFormat="1" ht="12.75" customHeight="1">
      <c r="B19" s="84"/>
      <c r="C19" s="137" t="s">
        <v>86</v>
      </c>
      <c r="D19" s="137"/>
      <c r="E19" s="137"/>
      <c r="F19" s="138">
        <f>$AW$33</f>
        <v>1.2317883161512027</v>
      </c>
      <c r="G19" s="138"/>
      <c r="H19" s="141"/>
      <c r="I19" s="89"/>
      <c r="J19" s="89"/>
      <c r="K19" s="40">
        <v>680</v>
      </c>
      <c r="L19" s="63"/>
      <c r="M19" s="64"/>
      <c r="O19" s="42" t="s">
        <v>53</v>
      </c>
      <c r="P19" s="2"/>
      <c r="U19" s="84"/>
      <c r="V19" s="2"/>
      <c r="W19" s="2"/>
      <c r="X19" s="2"/>
      <c r="Y19" s="137" t="s">
        <v>85</v>
      </c>
      <c r="Z19" s="137"/>
      <c r="AA19" s="137"/>
      <c r="AB19" s="138">
        <f>$AW$33</f>
        <v>1.2317883161512027</v>
      </c>
      <c r="AC19" s="138"/>
      <c r="AD19" s="2"/>
      <c r="AE19" s="40">
        <v>493</v>
      </c>
      <c r="AF19" s="33"/>
      <c r="AG19" s="32"/>
      <c r="AH19" s="177"/>
      <c r="AI19" s="34"/>
      <c r="AJ19" s="42" t="s">
        <v>53</v>
      </c>
      <c r="AL19" s="65"/>
      <c r="AM19" s="23"/>
      <c r="AP19" s="76"/>
      <c r="AQ19" s="1"/>
      <c r="AR19" s="1"/>
      <c r="AS19" s="1"/>
      <c r="AT19" s="134"/>
      <c r="AU19" s="134"/>
      <c r="AV19" s="132"/>
      <c r="AW19" s="132"/>
      <c r="AX19" s="161" t="s">
        <v>49</v>
      </c>
      <c r="AY19" s="161"/>
      <c r="AZ19" s="174" t="s">
        <v>46</v>
      </c>
      <c r="BA19" s="174"/>
      <c r="BB19" s="161" t="s">
        <v>76</v>
      </c>
      <c r="BC19" s="161"/>
      <c r="BD19" s="116"/>
      <c r="BE19" s="117">
        <v>140</v>
      </c>
      <c r="BF19" s="118">
        <v>160</v>
      </c>
      <c r="BG19" s="117">
        <v>200</v>
      </c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</row>
    <row r="20" spans="2:75" s="27" customFormat="1" ht="12.75" customHeight="1">
      <c r="B20" s="84"/>
      <c r="C20" s="44" t="s">
        <v>51</v>
      </c>
      <c r="D20" s="136">
        <v>1</v>
      </c>
      <c r="E20" s="136"/>
      <c r="F20" s="139"/>
      <c r="G20" s="139"/>
      <c r="H20" s="142"/>
      <c r="I20" s="46"/>
      <c r="J20" s="77"/>
      <c r="K20" s="40">
        <v>160</v>
      </c>
      <c r="L20" s="63"/>
      <c r="M20" s="64"/>
      <c r="O20" s="42" t="s">
        <v>52</v>
      </c>
      <c r="P20" s="2"/>
      <c r="U20" s="59"/>
      <c r="V20" s="2"/>
      <c r="W20" s="2"/>
      <c r="X20" s="2"/>
      <c r="Y20" s="47" t="s">
        <v>51</v>
      </c>
      <c r="Z20" s="126">
        <v>1.3</v>
      </c>
      <c r="AA20" s="207"/>
      <c r="AB20" s="139"/>
      <c r="AC20" s="139"/>
      <c r="AD20" s="46"/>
      <c r="AE20" s="40">
        <v>153</v>
      </c>
      <c r="AF20" s="64"/>
      <c r="AG20" s="63"/>
      <c r="AH20" s="177"/>
      <c r="AI20" s="70"/>
      <c r="AJ20" s="42" t="s">
        <v>52</v>
      </c>
      <c r="AL20" s="65"/>
      <c r="AM20" s="23"/>
      <c r="AP20" s="203" t="s">
        <v>89</v>
      </c>
      <c r="AQ20" s="172"/>
      <c r="AR20" s="172"/>
      <c r="AS20" s="204"/>
      <c r="AT20" s="163">
        <v>38</v>
      </c>
      <c r="AU20" s="163"/>
      <c r="AV20" s="162">
        <v>42</v>
      </c>
      <c r="AW20" s="162"/>
      <c r="AX20" s="163">
        <v>38</v>
      </c>
      <c r="AY20" s="163"/>
      <c r="AZ20" s="162">
        <v>38</v>
      </c>
      <c r="BA20" s="162"/>
      <c r="BB20" s="163">
        <v>40</v>
      </c>
      <c r="BC20" s="163"/>
      <c r="BD20" s="119"/>
      <c r="BE20" s="120">
        <v>45</v>
      </c>
      <c r="BF20" s="121">
        <f>Admin!I30</f>
        <v>45</v>
      </c>
      <c r="BG20" s="120">
        <v>45</v>
      </c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</row>
    <row r="21" spans="2:75" s="27" customFormat="1" ht="12.75" customHeight="1">
      <c r="B21" s="84"/>
      <c r="C21" s="50"/>
      <c r="D21" s="51"/>
      <c r="E21" s="51"/>
      <c r="F21" s="52"/>
      <c r="G21" s="52"/>
      <c r="H21" s="53"/>
      <c r="I21" s="2"/>
      <c r="J21" s="65"/>
      <c r="K21" s="64"/>
      <c r="L21" s="38">
        <f>IF(L23&gt;$AW$34*0.9,IF(L22&gt;$AW$35*0.9,3,2),IF(L22&gt;$AW$35*0.9,1,0))</f>
        <v>3</v>
      </c>
      <c r="M21" s="64"/>
      <c r="O21" s="65"/>
      <c r="P21" s="2"/>
      <c r="U21" s="59"/>
      <c r="V21" s="20"/>
      <c r="W21" s="20"/>
      <c r="X21" s="20"/>
      <c r="Y21" s="62"/>
      <c r="Z21" s="62"/>
      <c r="AA21" s="20"/>
      <c r="AB21" s="20"/>
      <c r="AC21" s="2"/>
      <c r="AD21" s="2"/>
      <c r="AE21" s="97"/>
      <c r="AF21" s="58">
        <f>IF(AF23&gt;$AW$34*0.9,IF(AF22&gt;$AW$35*0.9,3,2),IF(AF22&gt;$AW$35*0.9,1,0))</f>
        <v>2</v>
      </c>
      <c r="AG21" s="63"/>
      <c r="AH21" s="177"/>
      <c r="AI21" s="72"/>
      <c r="AJ21" s="65"/>
      <c r="AL21" s="65"/>
      <c r="AM21" s="23"/>
      <c r="AP21" s="205" t="s">
        <v>77</v>
      </c>
      <c r="AQ21" s="164"/>
      <c r="AR21" s="164"/>
      <c r="AS21" s="206"/>
      <c r="AT21" s="163">
        <v>1.5</v>
      </c>
      <c r="AU21" s="163"/>
      <c r="AV21" s="162">
        <v>5</v>
      </c>
      <c r="AW21" s="162"/>
      <c r="AX21" s="163">
        <v>4</v>
      </c>
      <c r="AY21" s="163"/>
      <c r="AZ21" s="162">
        <v>6</v>
      </c>
      <c r="BA21" s="162"/>
      <c r="BB21" s="163">
        <v>6</v>
      </c>
      <c r="BC21" s="163"/>
      <c r="BD21" s="119"/>
      <c r="BE21" s="120">
        <v>13</v>
      </c>
      <c r="BF21" s="121">
        <v>15</v>
      </c>
      <c r="BG21" s="120">
        <v>16</v>
      </c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</row>
    <row r="22" spans="2:75" s="27" customFormat="1" ht="12.75" customHeight="1">
      <c r="B22" s="84"/>
      <c r="C22" s="137" t="s">
        <v>82</v>
      </c>
      <c r="D22" s="137"/>
      <c r="E22" s="137"/>
      <c r="F22" s="138">
        <f>$AW$33</f>
        <v>1.2317883161512027</v>
      </c>
      <c r="G22" s="138"/>
      <c r="H22" s="89"/>
      <c r="I22" s="2"/>
      <c r="J22" s="65"/>
      <c r="K22" s="64"/>
      <c r="L22" s="40">
        <v>840</v>
      </c>
      <c r="M22" s="64"/>
      <c r="O22" s="42" t="s">
        <v>53</v>
      </c>
      <c r="P22" s="2"/>
      <c r="U22" s="39"/>
      <c r="V22" s="2"/>
      <c r="W22" s="2"/>
      <c r="X22" s="2"/>
      <c r="Y22" s="137" t="s">
        <v>85</v>
      </c>
      <c r="Z22" s="137"/>
      <c r="AA22" s="137"/>
      <c r="AB22" s="138">
        <f>$AW$33</f>
        <v>1.2317883161512027</v>
      </c>
      <c r="AC22" s="143"/>
      <c r="AD22" s="2"/>
      <c r="AE22" s="98"/>
      <c r="AF22" s="40">
        <v>493</v>
      </c>
      <c r="AG22" s="63"/>
      <c r="AH22" s="177"/>
      <c r="AI22" s="12"/>
      <c r="AJ22" s="42" t="s">
        <v>53</v>
      </c>
      <c r="AL22" s="65"/>
      <c r="AM22" s="23"/>
      <c r="AP22" s="205" t="s">
        <v>90</v>
      </c>
      <c r="AQ22" s="164"/>
      <c r="AR22" s="164"/>
      <c r="AS22" s="206"/>
      <c r="AT22" s="163">
        <v>9</v>
      </c>
      <c r="AU22" s="163"/>
      <c r="AV22" s="162">
        <v>30</v>
      </c>
      <c r="AW22" s="162"/>
      <c r="AX22" s="163">
        <v>30</v>
      </c>
      <c r="AY22" s="163"/>
      <c r="AZ22" s="162">
        <v>50</v>
      </c>
      <c r="BA22" s="162"/>
      <c r="BB22" s="163">
        <v>90</v>
      </c>
      <c r="BC22" s="163"/>
      <c r="BD22" s="119"/>
      <c r="BE22" s="120">
        <v>130</v>
      </c>
      <c r="BF22" s="121">
        <v>150</v>
      </c>
      <c r="BG22" s="120">
        <v>190</v>
      </c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</row>
    <row r="23" spans="2:75" s="27" customFormat="1" ht="12.75" customHeight="1">
      <c r="B23" s="84"/>
      <c r="C23" s="44" t="s">
        <v>51</v>
      </c>
      <c r="D23" s="136">
        <v>1.3</v>
      </c>
      <c r="E23" s="136"/>
      <c r="F23" s="139"/>
      <c r="G23" s="139"/>
      <c r="H23" s="46"/>
      <c r="I23" s="48"/>
      <c r="J23" s="78"/>
      <c r="K23" s="93"/>
      <c r="L23" s="40">
        <v>180</v>
      </c>
      <c r="M23" s="64"/>
      <c r="O23" s="42" t="s">
        <v>52</v>
      </c>
      <c r="P23" s="2"/>
      <c r="U23" s="39"/>
      <c r="V23" s="2"/>
      <c r="W23" s="2"/>
      <c r="X23" s="2"/>
      <c r="Y23" s="47" t="s">
        <v>51</v>
      </c>
      <c r="Z23" s="126">
        <v>1.3</v>
      </c>
      <c r="AA23" s="207"/>
      <c r="AB23" s="144"/>
      <c r="AC23" s="144"/>
      <c r="AD23" s="46"/>
      <c r="AE23" s="187"/>
      <c r="AF23" s="40">
        <v>153</v>
      </c>
      <c r="AG23" s="63"/>
      <c r="AH23" s="177"/>
      <c r="AI23" s="12"/>
      <c r="AJ23" s="42" t="s">
        <v>52</v>
      </c>
      <c r="AL23" s="65"/>
      <c r="AM23" s="23"/>
      <c r="AP23" s="205" t="s">
        <v>92</v>
      </c>
      <c r="AQ23" s="164"/>
      <c r="AR23" s="164"/>
      <c r="AS23" s="206"/>
      <c r="AT23" s="165">
        <f>AT22/AT21</f>
        <v>6</v>
      </c>
      <c r="AU23" s="165"/>
      <c r="AV23" s="166">
        <f>AV22/AV21</f>
        <v>6</v>
      </c>
      <c r="AW23" s="166"/>
      <c r="AX23" s="165">
        <f>AX22/AX21</f>
        <v>7.5</v>
      </c>
      <c r="AY23" s="165"/>
      <c r="AZ23" s="166">
        <f>AZ22/AZ21</f>
        <v>8.3333333333333339</v>
      </c>
      <c r="BA23" s="166"/>
      <c r="BB23" s="165">
        <f>BB22/BB21</f>
        <v>15</v>
      </c>
      <c r="BC23" s="165"/>
      <c r="BD23" s="122"/>
      <c r="BE23" s="123">
        <f>BE22/BE21</f>
        <v>10</v>
      </c>
      <c r="BF23" s="124">
        <f>BF22/BF21</f>
        <v>10</v>
      </c>
      <c r="BG23" s="123">
        <f>BG22/BG21</f>
        <v>11.875</v>
      </c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</row>
    <row r="24" spans="2:75" s="27" customFormat="1" ht="12.75" customHeight="1">
      <c r="B24" s="84"/>
      <c r="C24" s="50"/>
      <c r="D24" s="51"/>
      <c r="E24" s="89"/>
      <c r="F24" s="60"/>
      <c r="G24" s="60"/>
      <c r="H24" s="89"/>
      <c r="I24" s="23"/>
      <c r="J24" s="65"/>
      <c r="K24" s="64"/>
      <c r="L24" s="63"/>
      <c r="M24" s="58">
        <f>IF(M26&gt;$AW$34*0.9,IF(M25&gt;$AW$35*0.9,3,2),IF(M25&gt;$AW$35*0.9,1,0))</f>
        <v>3</v>
      </c>
      <c r="O24" s="65"/>
      <c r="P24" s="2"/>
      <c r="U24" s="59"/>
      <c r="V24" s="20"/>
      <c r="W24" s="20"/>
      <c r="X24" s="20"/>
      <c r="Y24" s="20"/>
      <c r="Z24" s="20"/>
      <c r="AA24" s="20"/>
      <c r="AB24" s="20"/>
      <c r="AC24" s="2"/>
      <c r="AD24" s="2"/>
      <c r="AE24" s="69"/>
      <c r="AF24" s="64"/>
      <c r="AG24" s="38">
        <f>IF(AG26&gt;$AW$34*0.9,IF(AG25&gt;$AW$35*0.9,3,2),IF(AG25&gt;$AW$35*0.9,1,0))</f>
        <v>3</v>
      </c>
      <c r="AH24" s="177"/>
      <c r="AI24" s="65"/>
      <c r="AJ24" s="65"/>
      <c r="AL24" s="65"/>
      <c r="AM24" s="23"/>
      <c r="AP24" s="84"/>
      <c r="AQ24" s="84"/>
      <c r="AR24" s="84"/>
      <c r="AS24" s="84"/>
      <c r="AT24" s="84"/>
      <c r="AU24" s="84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</row>
    <row r="25" spans="2:75" s="27" customFormat="1" ht="12.75" customHeight="1">
      <c r="B25" s="84"/>
      <c r="C25" s="137" t="s">
        <v>83</v>
      </c>
      <c r="D25" s="137"/>
      <c r="E25" s="137"/>
      <c r="F25" s="138">
        <f>$AW$33</f>
        <v>1.2317883161512027</v>
      </c>
      <c r="G25" s="138"/>
      <c r="H25" s="89"/>
      <c r="I25" s="89"/>
      <c r="J25" s="65"/>
      <c r="K25" s="64"/>
      <c r="L25" s="63"/>
      <c r="M25" s="40">
        <v>1000</v>
      </c>
      <c r="O25" s="42" t="s">
        <v>53</v>
      </c>
      <c r="P25" s="2"/>
      <c r="U25" s="59"/>
      <c r="V25" s="2"/>
      <c r="W25" s="2"/>
      <c r="X25" s="2"/>
      <c r="Y25" s="137" t="s">
        <v>101</v>
      </c>
      <c r="Z25" s="137"/>
      <c r="AA25" s="137"/>
      <c r="AB25" s="138">
        <f>$AW$33</f>
        <v>1.2317883161512027</v>
      </c>
      <c r="AC25" s="143"/>
      <c r="AD25" s="2"/>
      <c r="AE25" s="63"/>
      <c r="AF25" s="64"/>
      <c r="AG25" s="40">
        <v>680</v>
      </c>
      <c r="AH25" s="177"/>
      <c r="AI25" s="65"/>
      <c r="AJ25" s="42" t="s">
        <v>53</v>
      </c>
      <c r="AL25" s="65"/>
      <c r="AM25" s="23"/>
      <c r="AP25" s="231" t="s">
        <v>104</v>
      </c>
      <c r="AQ25" s="229"/>
      <c r="AR25" s="229"/>
      <c r="AS25" s="229"/>
      <c r="AT25" s="229"/>
      <c r="AU25" s="229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</row>
    <row r="26" spans="2:75" s="27" customFormat="1" ht="12.75" customHeight="1">
      <c r="B26" s="84"/>
      <c r="C26" s="44" t="s">
        <v>51</v>
      </c>
      <c r="D26" s="136">
        <v>1.5</v>
      </c>
      <c r="E26" s="136"/>
      <c r="F26" s="139"/>
      <c r="G26" s="139"/>
      <c r="H26" s="46"/>
      <c r="I26" s="46"/>
      <c r="J26" s="78"/>
      <c r="K26" s="94"/>
      <c r="L26" s="95"/>
      <c r="M26" s="40">
        <v>200</v>
      </c>
      <c r="O26" s="42" t="s">
        <v>52</v>
      </c>
      <c r="P26" s="2"/>
      <c r="S26"/>
      <c r="U26" s="59"/>
      <c r="V26" s="2"/>
      <c r="W26" s="2"/>
      <c r="X26" s="2"/>
      <c r="Y26" s="47" t="s">
        <v>51</v>
      </c>
      <c r="Z26" s="126">
        <v>1.8</v>
      </c>
      <c r="AA26" s="207"/>
      <c r="AB26" s="144"/>
      <c r="AC26" s="144"/>
      <c r="AD26" s="46"/>
      <c r="AE26" s="188"/>
      <c r="AF26" s="93"/>
      <c r="AG26" s="40">
        <v>182</v>
      </c>
      <c r="AH26" s="177"/>
      <c r="AI26" s="65"/>
      <c r="AJ26" s="42" t="s">
        <v>52</v>
      </c>
      <c r="AL26" s="65"/>
      <c r="AM26" s="23"/>
      <c r="AP26" s="229"/>
      <c r="AQ26" s="229"/>
      <c r="AR26" s="229"/>
      <c r="AS26" s="229"/>
      <c r="AT26" s="229"/>
      <c r="AU26" s="229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</row>
    <row r="27" spans="2:75" s="27" customFormat="1" ht="12.75" customHeight="1">
      <c r="B27" s="84"/>
      <c r="C27" s="84"/>
      <c r="D27" s="84"/>
      <c r="E27" s="30"/>
      <c r="F27" s="30"/>
      <c r="G27" s="30"/>
      <c r="H27" s="30"/>
      <c r="J27" s="34"/>
      <c r="K27" s="33"/>
      <c r="L27" s="32"/>
      <c r="M27" s="33"/>
      <c r="O27" s="28"/>
      <c r="U27" s="84"/>
      <c r="V27" s="84"/>
      <c r="W27" s="84"/>
      <c r="X27" s="84"/>
      <c r="Y27" s="54"/>
      <c r="Z27" s="51"/>
      <c r="AA27" s="51"/>
      <c r="AB27" s="61"/>
      <c r="AC27" s="61"/>
      <c r="AD27" s="11"/>
      <c r="AE27" s="176"/>
      <c r="AF27" s="96"/>
      <c r="AG27" s="98"/>
      <c r="AH27" s="100"/>
      <c r="AI27" s="34"/>
      <c r="AK27" s="28"/>
      <c r="AL27" s="30"/>
      <c r="AM27" s="30"/>
      <c r="AP27" s="229"/>
      <c r="AQ27" s="229"/>
      <c r="AR27" s="229"/>
      <c r="AS27" s="229"/>
      <c r="AT27" s="229"/>
      <c r="AU27" s="229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</row>
    <row r="28" spans="2:75" s="27" customFormat="1" ht="12.75" customHeight="1">
      <c r="B28" s="128"/>
      <c r="C28" s="128"/>
      <c r="D28" s="128"/>
      <c r="E28" s="30"/>
      <c r="F28" s="30"/>
      <c r="G28" s="30"/>
      <c r="H28" s="30"/>
      <c r="J28" s="34"/>
      <c r="K28" s="33"/>
      <c r="L28" s="32"/>
      <c r="M28" s="33"/>
      <c r="O28" s="28"/>
      <c r="U28" s="128"/>
      <c r="V28" s="128"/>
      <c r="W28" s="128"/>
      <c r="X28" s="128"/>
      <c r="Y28" s="54"/>
      <c r="Z28" s="51"/>
      <c r="AA28" s="51"/>
      <c r="AB28" s="127"/>
      <c r="AC28" s="127"/>
      <c r="AD28" s="129"/>
      <c r="AE28" s="176"/>
      <c r="AF28" s="96"/>
      <c r="AG28" s="98"/>
      <c r="AH28" s="100"/>
      <c r="AI28" s="34"/>
      <c r="AK28" s="28"/>
      <c r="AL28" s="30"/>
      <c r="AM28" s="30"/>
      <c r="AP28" s="229"/>
      <c r="AQ28" s="229"/>
      <c r="AR28" s="229"/>
      <c r="AS28" s="229"/>
      <c r="AT28" s="229"/>
      <c r="AU28" s="229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</row>
    <row r="29" spans="2:75" s="27" customFormat="1" ht="12.75" customHeight="1">
      <c r="B29" s="128"/>
      <c r="C29" s="128"/>
      <c r="D29" s="128"/>
      <c r="E29" s="30"/>
      <c r="F29" s="30"/>
      <c r="G29" s="30"/>
      <c r="H29" s="30"/>
      <c r="J29" s="34"/>
      <c r="K29" s="33"/>
      <c r="L29" s="32"/>
      <c r="M29" s="33"/>
      <c r="O29" s="28"/>
      <c r="U29" s="128"/>
      <c r="V29" s="128"/>
      <c r="W29" s="128"/>
      <c r="X29" s="128"/>
      <c r="Y29" s="54"/>
      <c r="Z29" s="51"/>
      <c r="AA29" s="51"/>
      <c r="AB29" s="127"/>
      <c r="AC29" s="127"/>
      <c r="AD29" s="129"/>
      <c r="AE29" s="176"/>
      <c r="AF29" s="96"/>
      <c r="AG29" s="98"/>
      <c r="AH29" s="100"/>
      <c r="AI29" s="34"/>
      <c r="AK29" s="28"/>
      <c r="AL29" s="30"/>
      <c r="AM29" s="30"/>
      <c r="AP29" s="229"/>
      <c r="AQ29" s="229"/>
      <c r="AR29" s="229"/>
      <c r="AS29" s="229"/>
      <c r="AT29" s="229"/>
      <c r="AU29" s="229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</row>
    <row r="30" spans="2:75" s="27" customFormat="1" ht="12.75" customHeight="1">
      <c r="B30" s="31"/>
      <c r="C30" s="90"/>
      <c r="D30" s="30"/>
      <c r="E30" s="30"/>
      <c r="F30" s="30"/>
      <c r="G30" s="30"/>
      <c r="H30" s="30"/>
      <c r="J30" s="34"/>
      <c r="K30" s="33"/>
      <c r="L30" s="32"/>
      <c r="M30" s="33"/>
      <c r="N30" s="34"/>
      <c r="U30" s="31"/>
      <c r="V30" s="31"/>
      <c r="W30" s="31"/>
      <c r="X30" s="31"/>
      <c r="Y30" s="137"/>
      <c r="Z30" s="137"/>
      <c r="AA30" s="137"/>
      <c r="AB30" s="71"/>
      <c r="AC30" s="71"/>
      <c r="AD30" s="12"/>
      <c r="AE30" s="98"/>
      <c r="AF30" s="96"/>
      <c r="AG30" s="98"/>
      <c r="AH30" s="100"/>
      <c r="AI30" s="30"/>
      <c r="AJ30" s="30"/>
      <c r="AK30" s="30"/>
      <c r="AL30" s="30"/>
      <c r="AM30" s="30"/>
      <c r="AN30" s="23"/>
      <c r="AO30" s="23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</row>
    <row r="31" spans="2:75" s="27" customFormat="1" ht="19.5" customHeight="1">
      <c r="B31" s="140" t="s">
        <v>94</v>
      </c>
      <c r="C31" s="140"/>
      <c r="D31" s="140"/>
      <c r="E31" s="24"/>
      <c r="F31" s="24"/>
      <c r="G31" s="24"/>
      <c r="H31" s="24"/>
      <c r="I31" s="25"/>
      <c r="J31" s="26">
        <v>13</v>
      </c>
      <c r="K31" s="26">
        <v>19</v>
      </c>
      <c r="L31" s="26">
        <v>26</v>
      </c>
      <c r="M31" s="26">
        <v>35</v>
      </c>
      <c r="N31" s="65"/>
      <c r="O31" s="28" t="s">
        <v>58</v>
      </c>
      <c r="U31" s="140" t="s">
        <v>99</v>
      </c>
      <c r="V31" s="140"/>
      <c r="W31" s="140"/>
      <c r="X31" s="140"/>
      <c r="Y31" s="140"/>
      <c r="Z31" s="140"/>
      <c r="AA31" s="67"/>
      <c r="AB31" s="67"/>
      <c r="AC31" s="25"/>
      <c r="AD31" s="25"/>
      <c r="AE31" s="26">
        <v>13</v>
      </c>
      <c r="AF31" s="26">
        <v>19</v>
      </c>
      <c r="AG31" s="26">
        <v>26</v>
      </c>
      <c r="AH31" s="26">
        <v>35</v>
      </c>
      <c r="AJ31" s="28" t="s">
        <v>58</v>
      </c>
      <c r="AK31" s="65"/>
      <c r="AM31" s="30"/>
      <c r="AN31" s="23"/>
      <c r="AO31" s="23"/>
      <c r="AP31" s="130" t="s">
        <v>93</v>
      </c>
      <c r="AQ31" s="130"/>
      <c r="AR31" s="130"/>
      <c r="AS31" s="130"/>
      <c r="AT31" s="130"/>
      <c r="AU31" s="130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</row>
    <row r="32" spans="2:75" s="27" customFormat="1" ht="15">
      <c r="B32" s="31"/>
      <c r="C32" s="31"/>
      <c r="D32" s="31"/>
      <c r="E32" s="31"/>
      <c r="F32" s="31"/>
      <c r="G32" s="31"/>
      <c r="H32" s="31"/>
      <c r="I32" s="31"/>
      <c r="J32" s="175"/>
      <c r="K32" s="33"/>
      <c r="L32" s="32"/>
      <c r="M32" s="33"/>
      <c r="N32" s="65"/>
      <c r="O32" s="28"/>
      <c r="P32"/>
      <c r="U32" s="84"/>
      <c r="V32" s="65"/>
      <c r="W32" s="84"/>
      <c r="X32" s="20"/>
      <c r="Y32" s="62"/>
      <c r="Z32" s="62"/>
      <c r="AA32" s="20"/>
      <c r="AB32" s="20"/>
      <c r="AE32" s="32"/>
      <c r="AF32" s="64"/>
      <c r="AG32" s="63"/>
      <c r="AH32" s="64"/>
      <c r="AJ32" s="28"/>
      <c r="AK32" s="65"/>
      <c r="AM32" s="30"/>
      <c r="AN32" s="23"/>
      <c r="AO32" s="23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</row>
    <row r="33" spans="2:75" s="27" customFormat="1" ht="12.75" customHeight="1">
      <c r="B33" s="31"/>
      <c r="C33" s="90" t="s">
        <v>84</v>
      </c>
      <c r="D33" s="31"/>
      <c r="E33" s="31"/>
      <c r="F33" s="31"/>
      <c r="G33" s="31"/>
      <c r="H33" s="31"/>
      <c r="I33" s="31"/>
      <c r="J33" s="175"/>
      <c r="K33" s="33"/>
      <c r="L33" s="32"/>
      <c r="M33" s="33"/>
      <c r="N33" s="31"/>
      <c r="O33" s="31"/>
      <c r="P33" s="31"/>
      <c r="Q33" s="31"/>
      <c r="R33" s="31"/>
      <c r="S33" s="31"/>
      <c r="T33" s="31"/>
      <c r="U33" s="84"/>
      <c r="W33" s="84"/>
      <c r="X33" s="20"/>
      <c r="Y33" s="90" t="s">
        <v>84</v>
      </c>
      <c r="Z33" s="62"/>
      <c r="AA33" s="20"/>
      <c r="AB33" s="20"/>
      <c r="AE33" s="32"/>
      <c r="AF33" s="64"/>
      <c r="AG33" s="63"/>
      <c r="AH33" s="64"/>
      <c r="AJ33" s="28"/>
      <c r="AK33" s="65"/>
      <c r="AM33" s="30"/>
      <c r="AN33" s="23"/>
      <c r="AO33" s="23"/>
      <c r="AP33" s="114" t="s">
        <v>37</v>
      </c>
      <c r="AQ33" s="113"/>
      <c r="AR33" s="113"/>
      <c r="AS33" s="113"/>
      <c r="AT33" s="113"/>
      <c r="AU33" s="108"/>
      <c r="AV33" s="108"/>
      <c r="AW33" s="167">
        <f>Admin!G17</f>
        <v>1.2317883161512027</v>
      </c>
      <c r="AX33" s="167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</row>
    <row r="34" spans="2:75" s="27" customFormat="1" ht="12.75" customHeight="1">
      <c r="B34" s="84"/>
      <c r="C34" s="84"/>
      <c r="D34" s="84"/>
      <c r="E34" s="84"/>
      <c r="F34" s="84"/>
      <c r="G34" s="84"/>
      <c r="H34" s="84"/>
      <c r="I34" s="84"/>
      <c r="J34" s="38">
        <f>IF(J36&gt;$AW$34*0.9,IF(J35&gt;$AW$35*0.9,3,2),IF(J35&gt;$AW$35*0.9,1,0))</f>
        <v>2</v>
      </c>
      <c r="K34" s="177"/>
      <c r="L34" s="63"/>
      <c r="M34" s="64"/>
      <c r="N34" s="65"/>
      <c r="O34" s="65"/>
      <c r="U34" s="84"/>
      <c r="V34" s="84"/>
      <c r="W34" s="84"/>
      <c r="X34" s="20"/>
      <c r="Y34" s="62"/>
      <c r="Z34" s="62"/>
      <c r="AA34" s="20"/>
      <c r="AB34" s="20"/>
      <c r="AE34" s="38">
        <f>IF(AE36&gt;$AW$34*0.9,IF(AE35&gt;$AW$35*0.9,3,2),IF(AE35&gt;$AW$35*0.9,1,0))</f>
        <v>2</v>
      </c>
      <c r="AF34" s="86"/>
      <c r="AG34" s="63"/>
      <c r="AH34" s="64"/>
      <c r="AJ34" s="28"/>
      <c r="AK34" s="65"/>
      <c r="AM34" s="30"/>
      <c r="AN34" s="23"/>
      <c r="AO34"/>
      <c r="AP34" s="114" t="s">
        <v>50</v>
      </c>
      <c r="AQ34" s="113"/>
      <c r="AR34" s="113"/>
      <c r="AS34" s="113"/>
      <c r="AT34" s="113"/>
      <c r="AU34" s="108"/>
      <c r="AV34" s="108"/>
      <c r="AW34" s="156">
        <f>INT(Admin!O19)</f>
        <v>130</v>
      </c>
      <c r="AX34" s="156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</row>
    <row r="35" spans="2:75" ht="12.75" customHeight="1">
      <c r="B35" s="39"/>
      <c r="C35" s="137" t="s">
        <v>96</v>
      </c>
      <c r="D35" s="137"/>
      <c r="E35" s="137"/>
      <c r="F35" s="138">
        <f>$AW$33</f>
        <v>1.2317883161512027</v>
      </c>
      <c r="G35" s="143"/>
      <c r="I35" s="1"/>
      <c r="J35" s="40">
        <v>493</v>
      </c>
      <c r="K35" s="222"/>
      <c r="L35" s="63"/>
      <c r="M35" s="64"/>
      <c r="N35" s="65"/>
      <c r="O35" s="42" t="s">
        <v>53</v>
      </c>
      <c r="U35" s="84"/>
      <c r="Y35" s="137" t="s">
        <v>85</v>
      </c>
      <c r="Z35" s="137"/>
      <c r="AA35" s="137"/>
      <c r="AB35" s="138">
        <f>$AW$33</f>
        <v>1.2317883161512027</v>
      </c>
      <c r="AC35" s="143"/>
      <c r="AE35" s="40">
        <v>493</v>
      </c>
      <c r="AF35" s="64"/>
      <c r="AG35" s="63"/>
      <c r="AH35" s="64"/>
      <c r="AI35" s="27"/>
      <c r="AJ35" s="213" t="s">
        <v>53</v>
      </c>
      <c r="AK35" s="65"/>
      <c r="AM35" s="129"/>
      <c r="AN35" s="23"/>
      <c r="AO35" s="23"/>
      <c r="AP35" s="114" t="s">
        <v>38</v>
      </c>
      <c r="AQ35" s="113"/>
      <c r="AR35" s="113"/>
      <c r="AS35" s="113"/>
      <c r="AT35" s="113"/>
      <c r="AU35" s="108"/>
      <c r="AV35" s="108"/>
      <c r="AW35" s="156">
        <f>INT(Admin!P17*60)</f>
        <v>600</v>
      </c>
      <c r="AX35" s="156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</row>
    <row r="36" spans="2:75" ht="12.75" customHeight="1">
      <c r="B36" s="39"/>
      <c r="C36" s="47" t="s">
        <v>51</v>
      </c>
      <c r="D36" s="126">
        <v>1</v>
      </c>
      <c r="E36" s="207"/>
      <c r="F36" s="144"/>
      <c r="G36" s="144"/>
      <c r="H36" s="221"/>
      <c r="I36" s="77"/>
      <c r="J36" s="40">
        <v>135</v>
      </c>
      <c r="K36" s="222"/>
      <c r="L36" s="63"/>
      <c r="M36" s="64"/>
      <c r="N36" s="65"/>
      <c r="O36" s="42" t="s">
        <v>52</v>
      </c>
      <c r="U36" s="59"/>
      <c r="Y36" s="47" t="s">
        <v>51</v>
      </c>
      <c r="Z36" s="136">
        <v>1.8</v>
      </c>
      <c r="AA36" s="136"/>
      <c r="AB36" s="144"/>
      <c r="AC36" s="144"/>
      <c r="AD36" s="77"/>
      <c r="AE36" s="40">
        <v>182</v>
      </c>
      <c r="AF36" s="64"/>
      <c r="AG36" s="63"/>
      <c r="AH36" s="64"/>
      <c r="AI36" s="65"/>
      <c r="AJ36" s="213" t="s">
        <v>52</v>
      </c>
      <c r="AK36" s="65"/>
      <c r="AM36" s="129"/>
      <c r="AN36" s="23"/>
      <c r="AO36" s="23"/>
      <c r="AP36" s="112" t="s">
        <v>39</v>
      </c>
      <c r="AQ36" s="113"/>
      <c r="AR36" s="113"/>
      <c r="AS36" s="113"/>
      <c r="AT36" s="113"/>
      <c r="AU36" s="108"/>
      <c r="AV36" s="108"/>
      <c r="AW36" s="156">
        <f>INT(Admin!I17)</f>
        <v>160</v>
      </c>
      <c r="AX36" s="156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</row>
    <row r="37" spans="2:75" ht="12.75" customHeight="1">
      <c r="B37" s="49"/>
      <c r="C37" s="1"/>
      <c r="D37" s="1"/>
      <c r="E37" s="1"/>
      <c r="F37" s="1"/>
      <c r="G37" s="1"/>
      <c r="H37" s="1"/>
      <c r="I37" s="1"/>
      <c r="J37" s="1"/>
      <c r="K37" s="102">
        <f>IF(K39&gt;$AW$34*0.9,IF(K38&gt;$AW$35*0.9,3,2),IF(K38&gt;$AW$35*0.9,1,0))</f>
        <v>2</v>
      </c>
      <c r="L37" s="223"/>
      <c r="M37" s="64"/>
      <c r="N37" s="65"/>
      <c r="O37" s="65"/>
      <c r="U37" s="59"/>
      <c r="V37" s="20"/>
      <c r="W37" s="20"/>
      <c r="X37" s="20"/>
      <c r="Y37" s="62"/>
      <c r="Z37" s="62"/>
      <c r="AA37" s="20"/>
      <c r="AB37" s="20"/>
      <c r="AE37" s="72"/>
      <c r="AF37" s="58">
        <f>IF(AF39&gt;$AW$34*0.9,IF(AF38&gt;$AW$35*0.9,3,2),IF(AF38&gt;$AW$35*0.9,1,0))</f>
        <v>2</v>
      </c>
      <c r="AG37" s="63"/>
      <c r="AH37" s="64"/>
      <c r="AI37" s="65"/>
      <c r="AJ37" s="65"/>
      <c r="AK37" s="65"/>
      <c r="AM37" s="129"/>
      <c r="AN37" s="11"/>
      <c r="AO37" s="11"/>
      <c r="AP37" s="112" t="s">
        <v>45</v>
      </c>
      <c r="AQ37" s="113"/>
      <c r="AR37" s="113"/>
      <c r="AS37" s="113"/>
      <c r="AT37" s="113"/>
      <c r="AU37" s="108"/>
      <c r="AV37" s="108"/>
      <c r="AW37" s="156">
        <f>AW36-AW34</f>
        <v>30</v>
      </c>
      <c r="AX37" s="156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2:75" ht="12.75" customHeight="1">
      <c r="B38" s="59"/>
      <c r="C38" s="211" t="s">
        <v>85</v>
      </c>
      <c r="D38" s="211"/>
      <c r="E38" s="180"/>
      <c r="F38" s="138">
        <f>$AW$33</f>
        <v>1.2317883161512027</v>
      </c>
      <c r="G38" s="138"/>
      <c r="H38" s="208"/>
      <c r="I38" s="11"/>
      <c r="J38" s="12"/>
      <c r="K38" s="212">
        <v>493</v>
      </c>
      <c r="L38" s="223"/>
      <c r="M38" s="64"/>
      <c r="N38" s="65"/>
      <c r="O38" s="213" t="s">
        <v>53</v>
      </c>
      <c r="U38" s="39"/>
      <c r="Y38" s="214" t="s">
        <v>85</v>
      </c>
      <c r="Z38" s="214"/>
      <c r="AA38" s="214"/>
      <c r="AB38" s="138">
        <f>$AW$33</f>
        <v>1.2317883161512027</v>
      </c>
      <c r="AC38" s="143"/>
      <c r="AD38" s="215"/>
      <c r="AE38" s="216"/>
      <c r="AF38" s="212">
        <v>493</v>
      </c>
      <c r="AG38" s="63"/>
      <c r="AH38" s="64"/>
      <c r="AI38" s="65"/>
      <c r="AJ38" s="213" t="s">
        <v>53</v>
      </c>
      <c r="AK38" s="65"/>
      <c r="AM38" s="129"/>
      <c r="AN38" s="11"/>
      <c r="AO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</row>
    <row r="39" spans="2:75" ht="12.75" customHeight="1">
      <c r="B39" s="59"/>
      <c r="C39" s="210" t="s">
        <v>51</v>
      </c>
      <c r="D39" s="224">
        <v>1</v>
      </c>
      <c r="E39" s="207"/>
      <c r="F39" s="139"/>
      <c r="G39" s="139"/>
      <c r="H39" s="209"/>
      <c r="I39" s="46"/>
      <c r="J39" s="77"/>
      <c r="K39" s="212">
        <v>135</v>
      </c>
      <c r="L39" s="223"/>
      <c r="M39" s="64"/>
      <c r="N39" s="65"/>
      <c r="O39" s="213" t="s">
        <v>52</v>
      </c>
      <c r="U39" s="39"/>
      <c r="Y39" s="217" t="s">
        <v>51</v>
      </c>
      <c r="Z39" s="218">
        <v>1.8</v>
      </c>
      <c r="AA39" s="218"/>
      <c r="AB39" s="144"/>
      <c r="AC39" s="144"/>
      <c r="AD39" s="219"/>
      <c r="AE39" s="220"/>
      <c r="AF39" s="212">
        <v>182</v>
      </c>
      <c r="AG39" s="63"/>
      <c r="AH39" s="64"/>
      <c r="AI39" s="65"/>
      <c r="AJ39" s="213" t="s">
        <v>52</v>
      </c>
      <c r="AK39" s="65"/>
      <c r="AM39" s="129"/>
      <c r="AN39" s="11"/>
      <c r="AO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</row>
    <row r="40" spans="2:75" ht="12.75" customHeight="1">
      <c r="B40" s="59"/>
      <c r="C40" s="1"/>
      <c r="D40" s="1"/>
      <c r="E40" s="1"/>
      <c r="F40" s="1"/>
      <c r="G40" s="1"/>
      <c r="H40" s="1"/>
      <c r="I40" s="1"/>
      <c r="J40" s="1"/>
      <c r="K40" s="1"/>
      <c r="L40" s="38">
        <f>IF(L42&gt;$AW$34*0.9,IF(L41&gt;$AW$35*0.9,3,2),IF(L41&gt;$AW$35*0.9,1,0))</f>
        <v>3</v>
      </c>
      <c r="M40" s="222"/>
      <c r="N40" s="65"/>
      <c r="O40" s="65"/>
      <c r="U40" s="59"/>
      <c r="V40" s="65"/>
      <c r="W40" s="65"/>
      <c r="X40" s="65"/>
      <c r="Y40" s="65"/>
      <c r="Z40" s="81"/>
      <c r="AA40" s="20"/>
      <c r="AB40" s="20"/>
      <c r="AE40" s="65"/>
      <c r="AF40" s="65"/>
      <c r="AG40" s="38">
        <f>IF(AG42&gt;$AW$34*0.9,IF(AG41&gt;$AW$35*0.9,3,2),IF(AG41&gt;$AW$35*0.9,1,0))</f>
        <v>3</v>
      </c>
      <c r="AH40" s="64"/>
      <c r="AI40" s="65"/>
      <c r="AJ40" s="65"/>
      <c r="AK40" s="65"/>
      <c r="AM40" s="129"/>
      <c r="AN40" s="11"/>
      <c r="AO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</row>
    <row r="41" spans="2:75" ht="12.75" customHeight="1">
      <c r="B41" s="59"/>
      <c r="C41" s="137" t="s">
        <v>97</v>
      </c>
      <c r="D41" s="137"/>
      <c r="E41" s="137"/>
      <c r="F41" s="138">
        <f>$AW$33</f>
        <v>1.2317883161512027</v>
      </c>
      <c r="G41" s="138"/>
      <c r="H41" s="11"/>
      <c r="J41" s="65"/>
      <c r="K41" s="65"/>
      <c r="L41" s="40">
        <v>840</v>
      </c>
      <c r="M41" s="222"/>
      <c r="N41" s="65"/>
      <c r="O41" s="42" t="s">
        <v>53</v>
      </c>
      <c r="U41" s="59"/>
      <c r="Y41" s="137" t="s">
        <v>97</v>
      </c>
      <c r="Z41" s="137"/>
      <c r="AA41" s="137"/>
      <c r="AB41" s="138">
        <f>$AW$33</f>
        <v>1.2317883161512027</v>
      </c>
      <c r="AC41" s="143"/>
      <c r="AE41" s="65"/>
      <c r="AF41" s="65"/>
      <c r="AG41" s="40">
        <v>840</v>
      </c>
      <c r="AH41" s="64"/>
      <c r="AI41" s="65"/>
      <c r="AJ41" s="42" t="s">
        <v>53</v>
      </c>
      <c r="AK41" s="65"/>
      <c r="AM41" s="129"/>
      <c r="AN41" s="11"/>
      <c r="AO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</row>
    <row r="42" spans="2:75" ht="12.75" customHeight="1">
      <c r="B42" s="59"/>
      <c r="C42" s="44" t="s">
        <v>51</v>
      </c>
      <c r="D42" s="126">
        <v>1.3</v>
      </c>
      <c r="E42" s="126"/>
      <c r="F42" s="139"/>
      <c r="G42" s="139"/>
      <c r="H42" s="46"/>
      <c r="I42" s="48"/>
      <c r="J42" s="78"/>
      <c r="K42" s="79"/>
      <c r="L42" s="40">
        <v>180</v>
      </c>
      <c r="M42" s="222"/>
      <c r="N42" s="65"/>
      <c r="O42" s="42" t="s">
        <v>52</v>
      </c>
      <c r="U42" s="59"/>
      <c r="Y42" s="47" t="s">
        <v>51</v>
      </c>
      <c r="Z42" s="45">
        <v>3</v>
      </c>
      <c r="AA42" s="45"/>
      <c r="AB42" s="144"/>
      <c r="AC42" s="144"/>
      <c r="AD42" s="46"/>
      <c r="AE42" s="78"/>
      <c r="AF42" s="79"/>
      <c r="AG42" s="40">
        <v>230</v>
      </c>
      <c r="AH42" s="64"/>
      <c r="AI42" s="65"/>
      <c r="AJ42" s="42" t="s">
        <v>52</v>
      </c>
      <c r="AK42" s="65"/>
      <c r="AM42" s="129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2:75" ht="12.75" customHeight="1">
      <c r="B43" s="59"/>
      <c r="C43" s="1"/>
      <c r="D43" s="1"/>
      <c r="E43" s="1"/>
      <c r="F43" s="1"/>
      <c r="G43" s="1"/>
      <c r="H43" s="1"/>
      <c r="I43" s="1"/>
      <c r="J43" s="1"/>
      <c r="K43" s="1"/>
      <c r="L43" s="1"/>
      <c r="M43" s="58">
        <f>IF(M45&gt;$AW$34*0.9,IF(M44&gt;$AW$35*0.9,3,2),IF(M44&gt;$AW$35*0.9,1,0))</f>
        <v>3</v>
      </c>
      <c r="N43" s="65"/>
      <c r="O43" s="42"/>
      <c r="U43" s="59"/>
      <c r="V43" s="80"/>
      <c r="W43" s="80"/>
      <c r="X43" s="80"/>
      <c r="Y43" s="80"/>
      <c r="Z43" s="80"/>
      <c r="AA43" s="65"/>
      <c r="AB43" s="65"/>
      <c r="AE43" s="65"/>
      <c r="AF43" s="65"/>
      <c r="AG43" s="65"/>
      <c r="AH43" s="58">
        <f>IF(AH45&gt;$AW$34*0.9,IF(AH44&gt;$AW$35*0.9,3,2),IF(AH44&gt;$AW$35*0.9,1,0))</f>
        <v>3</v>
      </c>
      <c r="AI43" s="65"/>
      <c r="AJ43" s="65"/>
      <c r="AK43" s="65"/>
      <c r="AL43" s="129"/>
      <c r="AM43" s="129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</row>
    <row r="44" spans="2:75" s="65" customFormat="1" ht="12.75" customHeight="1">
      <c r="B44" s="59"/>
      <c r="C44" s="137" t="s">
        <v>98</v>
      </c>
      <c r="D44" s="137"/>
      <c r="E44" s="137"/>
      <c r="F44" s="138">
        <f>$AW$33</f>
        <v>1.2317883161512027</v>
      </c>
      <c r="G44" s="138"/>
      <c r="H44" s="11"/>
      <c r="I44" s="11"/>
      <c r="M44" s="40">
        <v>960</v>
      </c>
      <c r="O44" s="42" t="s">
        <v>53</v>
      </c>
      <c r="U44" s="59"/>
      <c r="Y44" s="137" t="s">
        <v>98</v>
      </c>
      <c r="Z44" s="137"/>
      <c r="AA44" s="137"/>
      <c r="AB44" s="138">
        <f>$AW$33</f>
        <v>1.2317883161512027</v>
      </c>
      <c r="AC44" s="143"/>
      <c r="AH44" s="40">
        <v>960</v>
      </c>
      <c r="AJ44" s="42" t="s">
        <v>53</v>
      </c>
      <c r="AL44" s="20"/>
      <c r="AM44" s="20"/>
      <c r="AN44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</row>
    <row r="45" spans="2:75" s="65" customFormat="1" ht="15">
      <c r="C45" s="44" t="s">
        <v>51</v>
      </c>
      <c r="D45" s="126">
        <v>1.5</v>
      </c>
      <c r="E45" s="126"/>
      <c r="F45" s="139"/>
      <c r="G45" s="139"/>
      <c r="H45" s="46"/>
      <c r="I45" s="46"/>
      <c r="J45" s="78"/>
      <c r="K45" s="78"/>
      <c r="L45" s="79"/>
      <c r="M45" s="40">
        <v>200</v>
      </c>
      <c r="O45" s="42" t="s">
        <v>52</v>
      </c>
      <c r="U45" s="59"/>
      <c r="Y45" s="47" t="s">
        <v>51</v>
      </c>
      <c r="Z45" s="136">
        <v>4.8</v>
      </c>
      <c r="AA45" s="136"/>
      <c r="AB45" s="144"/>
      <c r="AC45" s="144"/>
      <c r="AD45" s="78"/>
      <c r="AE45" s="78"/>
      <c r="AF45" s="78"/>
      <c r="AG45" s="79"/>
      <c r="AH45" s="40">
        <v>273</v>
      </c>
      <c r="AJ45" s="42" t="s">
        <v>52</v>
      </c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</row>
    <row r="46" spans="2:75" s="65" customFormat="1" ht="19.5" customHeight="1">
      <c r="U46" s="39"/>
      <c r="V46" s="39"/>
      <c r="W46" s="39"/>
      <c r="X46" s="39"/>
      <c r="Y46" s="20"/>
      <c r="Z46" s="20"/>
      <c r="AA46" s="20"/>
      <c r="AB46" s="66"/>
      <c r="AC46" s="66"/>
      <c r="AD46" s="20"/>
      <c r="AE46" s="34"/>
      <c r="AF46" s="70"/>
      <c r="AG46" s="34"/>
      <c r="AH46" s="20"/>
      <c r="AI46" s="34"/>
      <c r="AJ46" s="27"/>
      <c r="AK46" s="28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</row>
    <row r="47" spans="2:75" s="65" customFormat="1" ht="12.75" customHeight="1">
      <c r="U47" s="39"/>
      <c r="V47" s="39"/>
      <c r="W47" s="39"/>
      <c r="X47" s="39"/>
      <c r="Y47" s="90"/>
      <c r="Z47" s="20"/>
      <c r="AA47" s="20"/>
      <c r="AB47" s="66"/>
      <c r="AC47" s="66"/>
      <c r="AD47" s="20"/>
      <c r="AE47" s="34"/>
      <c r="AF47" s="70"/>
      <c r="AG47" s="34"/>
      <c r="AH47" s="20"/>
      <c r="AI47" s="34"/>
      <c r="AJ47" s="27"/>
      <c r="AK47" s="28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</row>
    <row r="48" spans="2:75" s="65" customFormat="1" ht="12.75" customHeight="1">
      <c r="U48" s="128"/>
      <c r="V48" s="39"/>
      <c r="W48" s="39"/>
      <c r="X48" s="39"/>
      <c r="Y48" s="128"/>
      <c r="Z48" s="128"/>
      <c r="AA48" s="85"/>
      <c r="AB48" s="85"/>
      <c r="AC48" s="85"/>
      <c r="AD48" s="68"/>
      <c r="AE48" s="125"/>
      <c r="AF48" s="70"/>
      <c r="AG48" s="70"/>
      <c r="AH48" s="34"/>
      <c r="AI48" s="34"/>
      <c r="AJ48" s="27"/>
      <c r="AK48" s="28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</row>
    <row r="49" spans="2:75" s="65" customFormat="1" ht="12.75" customHeight="1">
      <c r="U49" s="59"/>
      <c r="V49" s="59"/>
      <c r="W49" s="59"/>
      <c r="X49" s="59"/>
      <c r="Y49" s="180"/>
      <c r="Z49" s="180"/>
      <c r="AA49" s="180"/>
      <c r="AB49" s="71"/>
      <c r="AC49" s="186"/>
      <c r="AD49" s="68"/>
      <c r="AE49" s="129"/>
      <c r="AF49" s="70"/>
      <c r="AG49" s="70"/>
      <c r="AH49" s="34"/>
      <c r="AI49" s="34"/>
      <c r="AJ49" s="54"/>
      <c r="AK49" s="28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</row>
    <row r="50" spans="2:75" s="65" customFormat="1" ht="12.75" customHeight="1">
      <c r="U50" s="59"/>
      <c r="V50" s="59"/>
      <c r="W50" s="59"/>
      <c r="X50" s="59"/>
      <c r="Y50" s="54"/>
      <c r="Z50" s="179"/>
      <c r="AA50" s="179"/>
      <c r="AB50" s="186"/>
      <c r="AC50" s="186"/>
      <c r="AD50" s="68"/>
      <c r="AE50" s="129"/>
      <c r="AF50" s="70"/>
      <c r="AG50" s="70"/>
      <c r="AH50" s="34"/>
      <c r="AI50" s="34"/>
      <c r="AJ50" s="54"/>
      <c r="AK50" s="28"/>
      <c r="AL50" s="20"/>
      <c r="AM50" s="20"/>
      <c r="AN50" s="20"/>
      <c r="AO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</row>
    <row r="51" spans="2:75" s="65" customFormat="1" ht="12.75" customHeight="1">
      <c r="U51" s="59"/>
      <c r="V51" s="59"/>
      <c r="W51" s="59"/>
      <c r="X51" s="59"/>
      <c r="Y51" s="128"/>
      <c r="Z51" s="128"/>
      <c r="AA51" s="85"/>
      <c r="AB51" s="128"/>
      <c r="AC51" s="128"/>
      <c r="AD51" s="68"/>
      <c r="AE51" s="23"/>
      <c r="AF51" s="20"/>
      <c r="AG51" s="125"/>
      <c r="AH51" s="34"/>
      <c r="AI51" s="20"/>
      <c r="AJ51" s="70"/>
      <c r="AK51" s="20"/>
      <c r="AL51" s="20"/>
      <c r="AM51" s="20"/>
      <c r="AN51" s="20"/>
      <c r="AO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</row>
    <row r="52" spans="2:75" s="65" customFormat="1" ht="12.75" customHeight="1">
      <c r="U52" s="59"/>
      <c r="V52" s="59"/>
      <c r="W52" s="59"/>
      <c r="X52" s="59"/>
      <c r="Y52" s="137"/>
      <c r="Z52" s="137"/>
      <c r="AA52" s="137"/>
      <c r="AB52" s="157"/>
      <c r="AC52" s="178"/>
      <c r="AD52" s="68"/>
      <c r="AE52" s="23"/>
      <c r="AF52" s="20"/>
      <c r="AG52" s="129"/>
      <c r="AH52" s="34"/>
      <c r="AI52" s="70"/>
      <c r="AJ52" s="54"/>
      <c r="AK52" s="7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</row>
    <row r="53" spans="2:75" s="65" customFormat="1" ht="19.5" customHeight="1">
      <c r="U53" s="183" t="s">
        <v>87</v>
      </c>
      <c r="V53" s="184"/>
      <c r="W53" s="184"/>
      <c r="X53" s="184"/>
      <c r="Y53" s="184"/>
      <c r="Z53" s="184"/>
      <c r="AA53" s="184" t="s">
        <v>103</v>
      </c>
      <c r="AB53" s="184"/>
      <c r="AC53" s="184"/>
      <c r="AD53" s="184"/>
      <c r="AE53" s="184" t="s">
        <v>63</v>
      </c>
      <c r="AF53" s="184"/>
      <c r="AG53" s="184"/>
      <c r="AH53" s="184"/>
      <c r="AI53" s="184"/>
      <c r="AJ53" s="185" t="s">
        <v>71</v>
      </c>
      <c r="AK53" s="185"/>
      <c r="AL53" s="185"/>
      <c r="AM53" s="185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</row>
    <row r="54" spans="2:75" s="65" customFormat="1" ht="12.75" customHeight="1">
      <c r="U54" s="59"/>
      <c r="V54" s="59"/>
      <c r="W54" s="59"/>
      <c r="X54" s="59"/>
      <c r="Y54" s="54"/>
      <c r="Z54" s="107"/>
      <c r="AA54" s="107"/>
      <c r="AB54" s="56"/>
      <c r="AC54" s="56"/>
      <c r="AD54" s="20"/>
      <c r="AE54" s="20"/>
      <c r="AF54" s="20"/>
      <c r="AG54" s="129"/>
      <c r="AH54" s="20"/>
      <c r="AI54" s="70"/>
      <c r="AJ54" s="54"/>
      <c r="AK54" s="70"/>
      <c r="AL54" s="20"/>
      <c r="AM54" s="20"/>
      <c r="AN54" s="20"/>
      <c r="AO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</row>
    <row r="55" spans="2:75" s="65" customFormat="1" ht="19.5" customHeight="1">
      <c r="U55" s="140" t="s">
        <v>102</v>
      </c>
      <c r="V55" s="140"/>
      <c r="W55" s="140"/>
      <c r="X55" s="140"/>
      <c r="Y55" s="140"/>
      <c r="Z55" s="140"/>
      <c r="AA55" s="25"/>
      <c r="AB55" s="29"/>
      <c r="AC55" s="29"/>
      <c r="AD55" s="25"/>
      <c r="AE55" s="26">
        <v>13</v>
      </c>
      <c r="AF55" s="26">
        <v>19</v>
      </c>
      <c r="AG55" s="104">
        <v>26</v>
      </c>
      <c r="AH55" s="104"/>
      <c r="AI55" s="103"/>
      <c r="AJ55" s="28" t="s">
        <v>58</v>
      </c>
      <c r="AK55" s="27"/>
      <c r="AL55" s="30"/>
      <c r="AM55" s="20"/>
      <c r="AN55" s="20"/>
      <c r="AO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</row>
    <row r="56" spans="2:75" s="65" customFormat="1" ht="12.75" customHeight="1">
      <c r="U56" s="84"/>
      <c r="V56" s="84"/>
      <c r="W56" s="84"/>
      <c r="X56" s="84"/>
      <c r="Y56" s="27"/>
      <c r="Z56" s="84"/>
      <c r="AA56" s="27"/>
      <c r="AB56" s="91"/>
      <c r="AC56" s="91"/>
      <c r="AD56" s="27"/>
      <c r="AE56" s="32"/>
      <c r="AF56" s="33"/>
      <c r="AG56" s="32"/>
      <c r="AH56" s="64"/>
      <c r="AI56" s="34"/>
      <c r="AJ56" s="27"/>
      <c r="AK56" s="28"/>
      <c r="AL56" s="30"/>
      <c r="AM56" s="20"/>
      <c r="AN56" s="20"/>
      <c r="AO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</row>
    <row r="57" spans="2:75" s="65" customFormat="1" ht="12.75" customHeight="1">
      <c r="U57" s="84"/>
      <c r="V57" s="84"/>
      <c r="W57" s="84"/>
      <c r="X57" s="84"/>
      <c r="Y57" s="90" t="s">
        <v>84</v>
      </c>
      <c r="Z57" s="84"/>
      <c r="AA57" s="27"/>
      <c r="AB57" s="91"/>
      <c r="AC57" s="91"/>
      <c r="AD57" s="27"/>
      <c r="AE57" s="32"/>
      <c r="AF57" s="33"/>
      <c r="AG57" s="32"/>
      <c r="AH57" s="64"/>
      <c r="AI57" s="34"/>
      <c r="AJ57" s="27"/>
      <c r="AK57" s="28"/>
      <c r="AL57" s="3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</row>
    <row r="58" spans="2:75" s="65" customFormat="1" ht="12.75" customHeight="1">
      <c r="U58" s="84"/>
      <c r="V58" s="84"/>
      <c r="W58" s="84"/>
      <c r="X58" s="84"/>
      <c r="Y58" s="84"/>
      <c r="Z58" s="84"/>
      <c r="AA58" s="27"/>
      <c r="AB58" s="91"/>
      <c r="AC58" s="91"/>
      <c r="AD58" s="27"/>
      <c r="AE58" s="38">
        <f>IF(AE60&gt;$AW$34*0.9,IF(AE59&gt;$AW$35*0.9,3,2),IF(AE59&gt;$AW$35*0.9,1,0))</f>
        <v>2</v>
      </c>
      <c r="AF58" s="33"/>
      <c r="AG58" s="32"/>
      <c r="AH58" s="64"/>
      <c r="AI58" s="34"/>
      <c r="AJ58" s="27"/>
      <c r="AK58" s="28"/>
      <c r="AL58" s="3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</row>
    <row r="59" spans="2:75" s="65" customFormat="1" ht="12.75" customHeight="1">
      <c r="U59" s="84"/>
      <c r="V59" s="84"/>
      <c r="W59" s="84"/>
      <c r="X59" s="84"/>
      <c r="Y59" s="137" t="s">
        <v>85</v>
      </c>
      <c r="Z59" s="137"/>
      <c r="AA59" s="137"/>
      <c r="AB59" s="157">
        <f>AW33</f>
        <v>1.2317883161512027</v>
      </c>
      <c r="AC59" s="159"/>
      <c r="AD59" s="27"/>
      <c r="AE59" s="40">
        <v>493</v>
      </c>
      <c r="AF59" s="33"/>
      <c r="AG59" s="32"/>
      <c r="AH59" s="64"/>
      <c r="AI59" s="34"/>
      <c r="AJ59" s="42" t="s">
        <v>57</v>
      </c>
      <c r="AK59" s="28"/>
      <c r="AL59" s="3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</row>
    <row r="60" spans="2:75" s="65" customFormat="1" ht="12.75" customHeight="1">
      <c r="U60" s="84"/>
      <c r="V60" s="84"/>
      <c r="W60" s="84"/>
      <c r="X60" s="84"/>
      <c r="Y60" s="47" t="s">
        <v>51</v>
      </c>
      <c r="Z60" s="136">
        <v>1.4</v>
      </c>
      <c r="AA60" s="136"/>
      <c r="AB60" s="160"/>
      <c r="AC60" s="160"/>
      <c r="AD60" s="92"/>
      <c r="AE60" s="40">
        <v>164</v>
      </c>
      <c r="AF60" s="36"/>
      <c r="AG60" s="37"/>
      <c r="AH60" s="64"/>
      <c r="AI60" s="34"/>
      <c r="AJ60" s="42" t="s">
        <v>56</v>
      </c>
      <c r="AK60" s="28"/>
      <c r="AL60" s="30"/>
      <c r="AM60" s="20"/>
      <c r="AN60" s="20"/>
      <c r="AO60" s="20"/>
      <c r="AP6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</row>
    <row r="61" spans="2:75" s="65" customFormat="1" ht="12.75" customHeight="1">
      <c r="B61" s="59"/>
      <c r="C61" s="54"/>
      <c r="D61" s="107"/>
      <c r="E61" s="107"/>
      <c r="F61" s="52"/>
      <c r="G61" s="52"/>
      <c r="H61" s="20"/>
      <c r="I61" s="20"/>
      <c r="J61" s="70"/>
      <c r="K61" s="70"/>
      <c r="L61" s="70"/>
      <c r="M61" s="106"/>
      <c r="O61" s="42"/>
      <c r="U61" s="84"/>
      <c r="V61" s="84"/>
      <c r="W61" s="84"/>
      <c r="X61" s="84"/>
      <c r="Y61" s="31"/>
      <c r="Z61" s="31"/>
      <c r="AA61" s="31"/>
      <c r="AB61" s="35"/>
      <c r="AC61" s="35"/>
      <c r="AD61" s="30"/>
      <c r="AE61" s="97"/>
      <c r="AF61" s="58">
        <f>IF(AF63&gt;$AW$34*0.9,IF(AF62&gt;$AW$35*0.9,3,2),IF(AF62&gt;$AW$35*0.9,1,0))</f>
        <v>2</v>
      </c>
      <c r="AG61" s="37"/>
      <c r="AH61" s="64"/>
      <c r="AI61" s="34"/>
      <c r="AJ61" s="42"/>
      <c r="AK61" s="28"/>
      <c r="AL61" s="3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</row>
    <row r="62" spans="2:75" s="65" customFormat="1" ht="12.75" customHeight="1">
      <c r="B62" s="59"/>
      <c r="C62" s="20"/>
      <c r="D62" s="20"/>
      <c r="E62" s="20"/>
      <c r="F62" s="62"/>
      <c r="G62" s="62"/>
      <c r="H62" s="20"/>
      <c r="I62" s="20"/>
      <c r="U62" s="84"/>
      <c r="V62" s="84"/>
      <c r="W62" s="84"/>
      <c r="X62" s="84"/>
      <c r="Y62" s="137" t="s">
        <v>85</v>
      </c>
      <c r="Z62" s="137"/>
      <c r="AA62" s="137"/>
      <c r="AB62" s="157">
        <f>$AW$33</f>
        <v>1.2317883161512027</v>
      </c>
      <c r="AC62" s="159"/>
      <c r="AD62" s="141"/>
      <c r="AE62" s="98"/>
      <c r="AF62" s="40">
        <v>422</v>
      </c>
      <c r="AG62" s="41"/>
      <c r="AH62" s="64"/>
      <c r="AI62" s="34"/>
      <c r="AJ62" s="42" t="s">
        <v>57</v>
      </c>
      <c r="AK62" s="28"/>
      <c r="AL62" s="3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</row>
    <row r="63" spans="2:75" s="65" customFormat="1" ht="12.75" customHeight="1">
      <c r="U63" s="84"/>
      <c r="V63" s="84"/>
      <c r="W63" s="84"/>
      <c r="X63" s="84"/>
      <c r="Y63" s="47" t="s">
        <v>51</v>
      </c>
      <c r="Z63" s="136">
        <v>1.4</v>
      </c>
      <c r="AA63" s="136"/>
      <c r="AB63" s="160"/>
      <c r="AC63" s="160"/>
      <c r="AD63" s="142"/>
      <c r="AE63" s="99"/>
      <c r="AF63" s="40">
        <v>164</v>
      </c>
      <c r="AG63" s="41"/>
      <c r="AH63" s="64"/>
      <c r="AI63" s="34"/>
      <c r="AJ63" s="42" t="s">
        <v>56</v>
      </c>
      <c r="AK63" s="28"/>
      <c r="AL63" s="3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</row>
    <row r="64" spans="2:75" s="65" customFormat="1" ht="12.75" customHeight="1">
      <c r="U64" s="84"/>
      <c r="V64" s="84"/>
      <c r="W64" s="84"/>
      <c r="X64" s="84"/>
      <c r="Y64" s="54"/>
      <c r="Z64" s="51"/>
      <c r="AA64" s="51"/>
      <c r="AB64" s="55"/>
      <c r="AC64" s="56"/>
      <c r="AD64" s="57"/>
      <c r="AE64" s="98"/>
      <c r="AF64" s="100"/>
      <c r="AG64" s="38">
        <f>IF(AG66&gt;$AW$34*0.9,IF(AG65&gt;$AW$35*0.9,3,2),IF(AG65&gt;$AW$35*0.9,1,0))</f>
        <v>3</v>
      </c>
      <c r="AH64" s="64"/>
      <c r="AI64" s="34"/>
      <c r="AJ64" s="27"/>
      <c r="AK64" s="28"/>
      <c r="AL64" s="3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</row>
    <row r="65" spans="2:75" s="65" customFormat="1" ht="12.75" customHeight="1">
      <c r="U65" s="84"/>
      <c r="V65" s="84"/>
      <c r="W65" s="84"/>
      <c r="X65" s="84"/>
      <c r="Y65" s="137" t="s">
        <v>97</v>
      </c>
      <c r="Z65" s="137"/>
      <c r="AA65" s="137"/>
      <c r="AB65" s="157">
        <f>$AW$33</f>
        <v>1.2317883161512027</v>
      </c>
      <c r="AC65" s="157"/>
      <c r="AD65" s="11"/>
      <c r="AE65" s="98"/>
      <c r="AF65" s="100"/>
      <c r="AG65" s="40">
        <v>840</v>
      </c>
      <c r="AH65" s="64"/>
      <c r="AI65" s="34"/>
      <c r="AJ65" s="42" t="s">
        <v>57</v>
      </c>
      <c r="AK65" s="28"/>
      <c r="AL65" s="3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</row>
    <row r="66" spans="2:75" s="65" customFormat="1" ht="12.75" customHeight="1">
      <c r="U66" s="84"/>
      <c r="V66" s="84"/>
      <c r="W66" s="84"/>
      <c r="X66" s="84"/>
      <c r="Y66" s="47" t="s">
        <v>51</v>
      </c>
      <c r="Z66" s="136">
        <v>2</v>
      </c>
      <c r="AA66" s="136"/>
      <c r="AB66" s="158"/>
      <c r="AC66" s="158"/>
      <c r="AD66" s="46"/>
      <c r="AE66" s="99"/>
      <c r="AF66" s="101"/>
      <c r="AG66" s="40">
        <v>190</v>
      </c>
      <c r="AH66" s="64"/>
      <c r="AI66" s="34"/>
      <c r="AJ66" s="42" t="s">
        <v>56</v>
      </c>
      <c r="AK66" s="28"/>
      <c r="AL66" s="3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</row>
    <row r="67" spans="2:75" s="65" customFormat="1" ht="12.75" customHeight="1">
      <c r="U67" s="59"/>
      <c r="V67" s="59"/>
      <c r="W67" s="59"/>
      <c r="X67" s="59"/>
      <c r="Y67" s="1"/>
      <c r="Z67" s="20"/>
      <c r="AA67"/>
      <c r="AB67" s="20"/>
      <c r="AC67" s="20"/>
      <c r="AD67" s="20"/>
      <c r="AE67" s="20"/>
      <c r="AF67" s="20"/>
      <c r="AG67" s="20"/>
      <c r="AH67" s="20"/>
      <c r="AI67" s="34"/>
      <c r="AJ67" s="27"/>
      <c r="AK67" s="28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</row>
    <row r="68" spans="2:75" s="65" customFormat="1" ht="12.75" customHeight="1">
      <c r="U68" s="59"/>
      <c r="V68" s="59"/>
      <c r="W68" s="59"/>
      <c r="X68" s="59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34"/>
      <c r="AJ68" s="27"/>
      <c r="AK68" s="28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2:75" s="65" customFormat="1" ht="12.75" customHeight="1">
      <c r="U69" s="59"/>
      <c r="V69" s="59"/>
      <c r="W69" s="59"/>
      <c r="X69" s="59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</row>
    <row r="70" spans="2:75" s="65" customFormat="1" ht="12.75" customHeight="1">
      <c r="T70"/>
      <c r="U70" s="59"/>
      <c r="V70" s="59"/>
      <c r="W70" s="59"/>
      <c r="X70" s="59"/>
      <c r="Y70" s="1"/>
      <c r="Z70" s="20"/>
      <c r="AA70" s="20"/>
      <c r="AB70" s="20"/>
      <c r="AC70" s="20"/>
      <c r="AD70" s="20"/>
      <c r="AE70" s="20"/>
      <c r="AF70" s="20"/>
      <c r="AG70" s="20"/>
      <c r="AH70" s="20"/>
      <c r="AI70" s="70"/>
      <c r="AK70" s="42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</row>
    <row r="71" spans="2:75" s="65" customFormat="1" ht="12.75" customHeight="1">
      <c r="U71" s="59"/>
      <c r="V71" s="59"/>
      <c r="W71" s="59"/>
      <c r="X71" s="59"/>
      <c r="Y71" s="1"/>
      <c r="Z71" s="20"/>
      <c r="AA71" s="20"/>
      <c r="AB71" s="20"/>
      <c r="AC71" s="20"/>
      <c r="AD71" s="20"/>
      <c r="AE71" s="20"/>
      <c r="AF71" s="20"/>
      <c r="AG71" s="20"/>
      <c r="AH71" s="20"/>
      <c r="AI71" s="70"/>
      <c r="AK71" s="42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</row>
    <row r="72" spans="2:75" s="65" customFormat="1" ht="12.75" customHeight="1">
      <c r="U72" s="147"/>
      <c r="V72" s="147"/>
      <c r="W72" s="147"/>
      <c r="X72" s="8"/>
      <c r="Y72" s="1"/>
      <c r="Z72" s="20"/>
      <c r="AA72" s="20"/>
      <c r="AB72" s="20"/>
      <c r="AC72" s="20"/>
      <c r="AD72" s="20"/>
      <c r="AE72" s="20"/>
      <c r="AF72" s="20"/>
      <c r="AG72" s="20"/>
      <c r="AH72" s="20"/>
      <c r="AI72" s="72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</row>
    <row r="73" spans="2:75" s="65" customFormat="1" ht="12.75" customHeight="1">
      <c r="U73" s="147"/>
      <c r="V73" s="147"/>
      <c r="W73" s="147"/>
      <c r="X73" s="8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12"/>
      <c r="AK73" s="42"/>
      <c r="AL73" s="20"/>
      <c r="AM73" s="20"/>
      <c r="AN73" s="20"/>
      <c r="AO73" s="20"/>
      <c r="AP73" s="20"/>
      <c r="AQ73" s="7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</row>
    <row r="74" spans="2:75" s="65" customFormat="1" ht="12.75" customHeight="1">
      <c r="U74" s="147"/>
      <c r="V74" s="147"/>
      <c r="W74" s="147"/>
      <c r="X74" s="8"/>
      <c r="Y74" s="2"/>
      <c r="Z74" s="2"/>
      <c r="AA74" s="2"/>
      <c r="AB74" s="2"/>
      <c r="AC74" s="2"/>
      <c r="AD74" s="54"/>
      <c r="AE74" s="2"/>
      <c r="AF74" s="2"/>
      <c r="AG74" s="2"/>
      <c r="AH74" s="2"/>
      <c r="AI74" s="12"/>
      <c r="AK74" s="42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</row>
    <row r="75" spans="2:75" s="65" customFormat="1" ht="12.75" customHeight="1">
      <c r="B75" s="59"/>
      <c r="C75" s="20"/>
      <c r="D75" s="20"/>
      <c r="E75" s="20"/>
      <c r="F75" s="20"/>
      <c r="G75" s="20"/>
      <c r="H75" s="20"/>
      <c r="I75" s="20"/>
      <c r="U75" s="147"/>
      <c r="V75" s="147"/>
      <c r="W75" s="147"/>
      <c r="X75" s="8"/>
      <c r="Y75" s="2"/>
      <c r="Z75"/>
      <c r="AA75" s="2"/>
      <c r="AB75" s="2"/>
      <c r="AC75" s="2"/>
      <c r="AD75" s="2"/>
      <c r="AE75" s="2"/>
      <c r="AF75" s="2"/>
      <c r="AG75" s="2"/>
      <c r="AH75" s="2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2:75" ht="12.75" customHeight="1">
      <c r="B76" s="59"/>
      <c r="C76" s="54"/>
      <c r="D76" s="11"/>
      <c r="E76" s="11"/>
      <c r="F76" s="11"/>
      <c r="G76" s="11"/>
      <c r="H76" s="11"/>
      <c r="I76" s="11"/>
      <c r="U76" s="20"/>
      <c r="V76" s="20"/>
      <c r="W76" s="20"/>
      <c r="X76" s="20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</row>
    <row r="77" spans="2:75" ht="12.75" customHeight="1">
      <c r="B77" s="7"/>
      <c r="C77" s="1"/>
      <c r="D77" s="11"/>
      <c r="E77" s="11"/>
      <c r="F77" s="11"/>
      <c r="G77" s="11"/>
      <c r="H77" s="11"/>
      <c r="I77" s="11"/>
      <c r="U77" s="20"/>
      <c r="V77" s="20"/>
      <c r="W77" s="1"/>
      <c r="X77" s="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</row>
    <row r="78" spans="2:75" s="73" customFormat="1" ht="12.75" customHeight="1">
      <c r="B78" s="7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20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11"/>
      <c r="AJ78" s="11"/>
      <c r="AK78" s="11"/>
      <c r="AL78" s="11"/>
      <c r="AM78" s="11"/>
      <c r="AN78" s="11"/>
      <c r="AO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</row>
    <row r="79" spans="2:75" ht="14.25" customHeight="1">
      <c r="B79" s="7"/>
      <c r="C79" s="1"/>
      <c r="U79" s="20"/>
      <c r="V79" s="1"/>
      <c r="W79" s="1"/>
      <c r="X79" s="1"/>
    </row>
    <row r="80" spans="2:75" ht="14.25" customHeight="1">
      <c r="B80" s="7"/>
      <c r="C80" s="1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20"/>
      <c r="V80" s="1"/>
      <c r="W80" s="1"/>
      <c r="X80" s="1"/>
      <c r="AI80" s="70"/>
    </row>
    <row r="81" spans="1:35">
      <c r="C81" s="1"/>
      <c r="D81" s="1"/>
      <c r="E81" s="1"/>
      <c r="F81" s="1"/>
      <c r="G81" s="1"/>
      <c r="H81" s="1"/>
      <c r="I81" s="1"/>
      <c r="J81" s="1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20"/>
      <c r="V81" s="20"/>
      <c r="W81" s="20"/>
      <c r="X81" s="20"/>
      <c r="AI81" s="70"/>
    </row>
    <row r="82" spans="1:35">
      <c r="C82" s="1"/>
      <c r="D82" s="1"/>
      <c r="E82" s="1"/>
      <c r="F82" s="1"/>
      <c r="G82" s="1"/>
      <c r="H82" s="1"/>
      <c r="I82" s="1"/>
      <c r="J82" s="1"/>
      <c r="K82" s="70"/>
      <c r="L82" s="70"/>
      <c r="M82" s="70"/>
      <c r="N82" s="70"/>
      <c r="O82" s="70"/>
      <c r="P82" s="70"/>
      <c r="Q82" s="70"/>
      <c r="R82" s="70"/>
      <c r="S82" s="70"/>
      <c r="T82" s="70"/>
      <c r="AI82" s="70"/>
    </row>
    <row r="83" spans="1:35">
      <c r="C83" s="1"/>
      <c r="D83" s="1"/>
      <c r="E83" s="1"/>
      <c r="F83" s="1"/>
      <c r="G83" s="1"/>
      <c r="H83" s="1"/>
      <c r="I83" s="1"/>
      <c r="J83" s="1"/>
      <c r="K83" s="20"/>
      <c r="L83" s="70"/>
      <c r="M83" s="70"/>
      <c r="N83" s="70"/>
      <c r="O83" s="70"/>
      <c r="P83" s="70"/>
      <c r="Q83" s="70"/>
      <c r="R83" s="70"/>
      <c r="S83" s="70"/>
      <c r="T83" s="70"/>
      <c r="AI83" s="70"/>
    </row>
    <row r="84" spans="1:35">
      <c r="C84" s="1"/>
      <c r="D84" s="1"/>
      <c r="E84" s="1"/>
      <c r="F84" s="1"/>
      <c r="G84" s="1"/>
      <c r="H84" s="1"/>
      <c r="I84" s="1"/>
      <c r="J84" s="1"/>
      <c r="K84" s="20"/>
      <c r="L84" s="70"/>
      <c r="M84" s="70"/>
      <c r="N84" s="70"/>
      <c r="O84" s="70"/>
      <c r="P84" s="70"/>
      <c r="Q84" s="70"/>
      <c r="R84" s="70"/>
      <c r="S84" s="70"/>
      <c r="T84" s="70"/>
      <c r="AI84" s="70"/>
    </row>
    <row r="85" spans="1:35">
      <c r="C85" s="1"/>
      <c r="D85" s="1"/>
      <c r="E85" s="1"/>
      <c r="F85" s="1"/>
      <c r="G85" s="1"/>
      <c r="H85" s="1"/>
      <c r="I85" s="1"/>
      <c r="J85" s="1"/>
      <c r="K85" s="70"/>
      <c r="L85" s="70"/>
      <c r="M85" s="70"/>
      <c r="N85" s="70"/>
      <c r="O85" s="70"/>
      <c r="P85" s="70"/>
      <c r="Q85" s="70"/>
      <c r="R85" s="70"/>
      <c r="S85" s="70"/>
      <c r="T85" s="70"/>
      <c r="AI85" s="70"/>
    </row>
    <row r="86" spans="1:35">
      <c r="C86" s="1"/>
      <c r="D86" s="1"/>
      <c r="E86" s="1"/>
      <c r="F86" s="1"/>
      <c r="G86" s="1"/>
      <c r="H86" s="1"/>
      <c r="I86" s="1"/>
      <c r="J86" s="1"/>
      <c r="K86" s="70"/>
      <c r="L86" s="70"/>
      <c r="M86" s="70"/>
      <c r="N86" s="70"/>
      <c r="O86" s="70"/>
      <c r="P86" s="70"/>
      <c r="Q86" s="70"/>
      <c r="R86" s="70"/>
      <c r="S86" s="70"/>
      <c r="T86" s="70"/>
      <c r="AI86" s="70"/>
    </row>
    <row r="87" spans="1:35">
      <c r="B87" s="109"/>
      <c r="C87" s="109"/>
      <c r="D87" s="109"/>
      <c r="E87" s="109"/>
      <c r="F87" s="109"/>
      <c r="G87" s="109"/>
      <c r="H87" s="109"/>
      <c r="I87" s="109"/>
      <c r="J87" s="109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35">
      <c r="A88" s="82"/>
      <c r="B88" s="109"/>
      <c r="C88" s="109"/>
      <c r="D88" s="109"/>
      <c r="E88" s="109"/>
      <c r="F88" s="109"/>
      <c r="G88" s="109"/>
      <c r="H88" s="109"/>
      <c r="I88" s="109"/>
      <c r="J88" s="109"/>
      <c r="K88" s="82"/>
      <c r="L88" s="1"/>
      <c r="M88" s="1"/>
      <c r="N88" s="1"/>
      <c r="O88" s="146"/>
      <c r="P88" s="146"/>
      <c r="Q88" s="146"/>
      <c r="R88" s="146"/>
      <c r="S88" s="5"/>
      <c r="T88" s="5"/>
    </row>
    <row r="89" spans="1:35">
      <c r="A89" s="82"/>
      <c r="B89" s="110" t="s">
        <v>64</v>
      </c>
      <c r="C89" s="111"/>
      <c r="D89" s="111"/>
      <c r="E89" s="111"/>
      <c r="F89" s="111"/>
      <c r="G89" s="111"/>
      <c r="H89" s="109"/>
      <c r="I89" s="109"/>
      <c r="J89" s="109"/>
      <c r="K89" s="82"/>
      <c r="L89" s="1"/>
      <c r="M89" s="1"/>
      <c r="N89" s="1"/>
      <c r="O89" s="146"/>
      <c r="P89" s="146"/>
      <c r="Q89" s="146"/>
      <c r="R89" s="146"/>
      <c r="S89" s="5"/>
      <c r="T89" s="5"/>
    </row>
    <row r="90" spans="1:35">
      <c r="A90" s="82"/>
      <c r="B90" s="111" t="s">
        <v>65</v>
      </c>
      <c r="C90" s="111"/>
      <c r="D90" s="111"/>
      <c r="E90" s="111"/>
      <c r="F90" s="111"/>
      <c r="G90" s="111"/>
      <c r="H90" s="109"/>
      <c r="I90" s="109"/>
      <c r="J90" s="109"/>
      <c r="K90" s="82"/>
      <c r="L90" s="1"/>
      <c r="M90" s="1"/>
      <c r="N90" s="1"/>
      <c r="O90" s="1"/>
      <c r="P90" s="1"/>
      <c r="Q90" s="1"/>
      <c r="R90" s="1"/>
      <c r="S90" s="1"/>
      <c r="T90" s="1"/>
    </row>
    <row r="91" spans="1:35">
      <c r="A91" s="82"/>
      <c r="B91" s="111" t="s">
        <v>66</v>
      </c>
      <c r="C91" s="111"/>
      <c r="D91" s="111"/>
      <c r="E91" s="111"/>
      <c r="F91" s="111"/>
      <c r="G91" s="111"/>
      <c r="H91" s="109"/>
      <c r="I91" s="109"/>
      <c r="J91" s="109"/>
      <c r="K91" s="82"/>
      <c r="L91" s="1"/>
      <c r="M91" s="1"/>
      <c r="N91" s="1"/>
      <c r="O91" s="145"/>
      <c r="P91" s="145"/>
      <c r="Q91" s="145"/>
      <c r="R91" s="145"/>
      <c r="S91" s="74"/>
      <c r="T91" s="74"/>
    </row>
    <row r="92" spans="1:35">
      <c r="A92" s="82"/>
      <c r="B92" s="111" t="s">
        <v>42</v>
      </c>
      <c r="C92" s="111"/>
      <c r="D92" s="111"/>
      <c r="E92" s="111"/>
      <c r="F92" s="111"/>
      <c r="G92" s="111"/>
      <c r="H92" s="109"/>
      <c r="I92" s="109"/>
      <c r="J92" s="109"/>
      <c r="K92" s="82"/>
      <c r="L92" s="1"/>
      <c r="M92" s="1"/>
      <c r="N92" s="1"/>
      <c r="O92" s="145"/>
      <c r="P92" s="145"/>
      <c r="Q92" s="145"/>
      <c r="R92" s="145"/>
      <c r="S92" s="74"/>
      <c r="T92" s="74"/>
    </row>
    <row r="93" spans="1:35">
      <c r="A93" s="82"/>
      <c r="B93" s="111" t="s">
        <v>67</v>
      </c>
      <c r="C93" s="111"/>
      <c r="D93" s="111"/>
      <c r="E93" s="111"/>
      <c r="F93" s="111"/>
      <c r="G93" s="111"/>
      <c r="H93" s="109"/>
      <c r="I93" s="109"/>
      <c r="J93" s="109"/>
      <c r="K93" s="82"/>
      <c r="L93" s="1"/>
      <c r="M93" s="1"/>
      <c r="N93" s="1"/>
      <c r="O93" s="1"/>
      <c r="P93" s="1"/>
      <c r="Q93" s="1"/>
      <c r="R93" s="1"/>
      <c r="S93" s="1"/>
      <c r="T93" s="1"/>
    </row>
    <row r="94" spans="1:35">
      <c r="A94" s="82"/>
      <c r="B94" s="111" t="s">
        <v>68</v>
      </c>
      <c r="C94" s="17"/>
      <c r="D94" s="17"/>
      <c r="E94" s="17"/>
      <c r="F94" s="17"/>
      <c r="G94" s="17"/>
      <c r="H94" s="108"/>
      <c r="I94" s="108"/>
      <c r="J94" s="108"/>
      <c r="K94" s="83"/>
    </row>
    <row r="95" spans="1:35">
      <c r="A95" s="82"/>
      <c r="B95" s="111" t="s">
        <v>69</v>
      </c>
      <c r="C95" s="17"/>
      <c r="D95" s="17"/>
      <c r="E95" s="17"/>
      <c r="F95" s="17"/>
      <c r="G95" s="17"/>
      <c r="H95" s="108"/>
      <c r="I95" s="108"/>
      <c r="J95" s="108"/>
      <c r="K95" s="83"/>
      <c r="L95" s="146"/>
      <c r="M95" s="146"/>
      <c r="N95" s="146"/>
      <c r="O95" s="146"/>
    </row>
    <row r="96" spans="1:35">
      <c r="A96" s="82"/>
      <c r="B96" s="111"/>
      <c r="C96" s="17"/>
      <c r="D96" s="17"/>
      <c r="E96" s="17"/>
      <c r="F96" s="17"/>
      <c r="G96" s="17"/>
      <c r="H96" s="83"/>
      <c r="I96" s="83"/>
      <c r="J96" s="83"/>
      <c r="K96" s="83"/>
      <c r="L96" s="146"/>
      <c r="M96" s="146"/>
      <c r="N96" s="146"/>
      <c r="O96" s="146"/>
    </row>
    <row r="97" spans="1:11">
      <c r="A97" s="82"/>
      <c r="K97" s="83"/>
    </row>
    <row r="98" spans="1:11">
      <c r="A98" s="82"/>
      <c r="K98" s="83"/>
    </row>
    <row r="99" spans="1:11">
      <c r="A99" s="82"/>
      <c r="K99" s="83"/>
    </row>
    <row r="100" spans="1:11">
      <c r="A100" s="82"/>
      <c r="K100" s="83"/>
    </row>
    <row r="101" spans="1:11">
      <c r="A101" s="82"/>
      <c r="K101" s="83"/>
    </row>
    <row r="102" spans="1:11">
      <c r="A102" s="82"/>
      <c r="K102" s="83"/>
    </row>
    <row r="103" spans="1:11">
      <c r="A103" s="82"/>
      <c r="B103" s="82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1:11">
      <c r="A104" s="82"/>
      <c r="B104" s="82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>
      <c r="A105" s="82"/>
      <c r="B105" s="82"/>
      <c r="C105" s="83"/>
      <c r="D105" s="83"/>
      <c r="E105" s="83"/>
      <c r="F105" s="83"/>
      <c r="G105" s="83"/>
      <c r="H105" s="83"/>
      <c r="I105" s="83"/>
      <c r="J105" s="83"/>
      <c r="K105" s="83"/>
    </row>
  </sheetData>
  <protectedRanges>
    <protectedRange sqref="AT22:BG22" name="Rozstęp28"/>
    <protectedRange sqref="BG21" name="Rozstęp27"/>
    <protectedRange sqref="BF21" name="Rozstęp26"/>
    <protectedRange sqref="BE21" name="Rozstęp25"/>
    <protectedRange sqref="BB21" name="Rozstęp24"/>
    <protectedRange sqref="AZ21" name="Rozstęp23"/>
    <protectedRange sqref="AX21" name="Rozstęp22"/>
    <protectedRange sqref="AV21" name="Rozstęp21"/>
    <protectedRange sqref="AT21" name="Rozstęp20"/>
    <protectedRange sqref="BG20" name="Rozstęp19"/>
    <protectedRange sqref="BF20" name="Rozstęp18"/>
    <protectedRange sqref="BE20" name="Rozstęp17"/>
    <protectedRange sqref="BB20" name="Rozstęp16"/>
    <protectedRange sqref="AZ20" name="Rozstęp15"/>
    <protectedRange sqref="AX20" name="Rozstęp14"/>
    <protectedRange sqref="AV20" name="Rozstęp13"/>
    <protectedRange sqref="AT20:AU20" name="Rozstęp12"/>
    <protectedRange sqref="G5" name="Rodzaj budynku"/>
    <protectedRange sqref="N7" name="Powierzchnia"/>
    <protectedRange sqref="N9" name="Ilość mieszkańców"/>
    <protectedRange sqref="U9" name="Umywalka"/>
    <protectedRange sqref="X9" name="Zlew"/>
    <protectedRange sqref="AA9" name="Natrysk oszczędny"/>
    <protectedRange sqref="AC9" name="Natrysk normalny"/>
    <protectedRange sqref="AE9" name="Natrysk komfortowy"/>
    <protectedRange sqref="AH9" name="Wanna 140"/>
    <protectedRange sqref="AJ9" name="Wanna 160"/>
    <protectedRange sqref="AL9" name="Wanna 200"/>
  </protectedRanges>
  <mergeCells count="137">
    <mergeCell ref="AJ53:AM53"/>
    <mergeCell ref="E13:H13"/>
    <mergeCell ref="AA13:AD13"/>
    <mergeCell ref="AA53:AD53"/>
    <mergeCell ref="C35:E35"/>
    <mergeCell ref="F35:G36"/>
    <mergeCell ref="F44:G45"/>
    <mergeCell ref="F41:G42"/>
    <mergeCell ref="F38:G39"/>
    <mergeCell ref="U53:Z53"/>
    <mergeCell ref="AE53:AI53"/>
    <mergeCell ref="AB19:AC20"/>
    <mergeCell ref="BE18:BG18"/>
    <mergeCell ref="AX18:BC18"/>
    <mergeCell ref="AZ23:BA23"/>
    <mergeCell ref="BB23:BC23"/>
    <mergeCell ref="BB19:BC19"/>
    <mergeCell ref="AZ19:BA19"/>
    <mergeCell ref="BB22:BC22"/>
    <mergeCell ref="BB21:BC21"/>
    <mergeCell ref="BB20:BC20"/>
    <mergeCell ref="AZ22:BA22"/>
    <mergeCell ref="AZ21:BA21"/>
    <mergeCell ref="AZ20:BA20"/>
    <mergeCell ref="AP2:AU2"/>
    <mergeCell ref="AP15:AU15"/>
    <mergeCell ref="U74:W74"/>
    <mergeCell ref="Y30:AA30"/>
    <mergeCell ref="AB62:AC63"/>
    <mergeCell ref="AD62:AD63"/>
    <mergeCell ref="Z63:AA63"/>
    <mergeCell ref="U55:Z55"/>
    <mergeCell ref="AP21:AS21"/>
    <mergeCell ref="U4:V4"/>
    <mergeCell ref="X4:Y4"/>
    <mergeCell ref="AA8:AB8"/>
    <mergeCell ref="AC8:AD8"/>
    <mergeCell ref="AE8:AF8"/>
    <mergeCell ref="AH8:AI8"/>
    <mergeCell ref="AP20:AS20"/>
    <mergeCell ref="AT20:AU20"/>
    <mergeCell ref="AT21:AU21"/>
    <mergeCell ref="B2:O2"/>
    <mergeCell ref="AL9:AM9"/>
    <mergeCell ref="AJ9:AK9"/>
    <mergeCell ref="AH9:AI9"/>
    <mergeCell ref="B15:D15"/>
    <mergeCell ref="U72:W72"/>
    <mergeCell ref="AJ10:AK10"/>
    <mergeCell ref="B13:D13"/>
    <mergeCell ref="I13:N13"/>
    <mergeCell ref="AA4:AF4"/>
    <mergeCell ref="AE9:AF9"/>
    <mergeCell ref="AC9:AD9"/>
    <mergeCell ref="AH4:AM4"/>
    <mergeCell ref="U2:AM2"/>
    <mergeCell ref="Y62:AA62"/>
    <mergeCell ref="Y65:AA65"/>
    <mergeCell ref="AB65:AC66"/>
    <mergeCell ref="Z66:AA66"/>
    <mergeCell ref="Y59:AA59"/>
    <mergeCell ref="AB52:AC52"/>
    <mergeCell ref="AW33:AX33"/>
    <mergeCell ref="AW34:AX34"/>
    <mergeCell ref="U73:W73"/>
    <mergeCell ref="Y52:AA52"/>
    <mergeCell ref="X9:Y9"/>
    <mergeCell ref="AA9:AB9"/>
    <mergeCell ref="AJ8:AK8"/>
    <mergeCell ref="AL8:AM8"/>
    <mergeCell ref="U13:Z13"/>
    <mergeCell ref="AW37:AX37"/>
    <mergeCell ref="AW36:AX36"/>
    <mergeCell ref="AW35:AX35"/>
    <mergeCell ref="AB59:AC60"/>
    <mergeCell ref="AX19:AY19"/>
    <mergeCell ref="AV20:AW20"/>
    <mergeCell ref="AV21:AW21"/>
    <mergeCell ref="AX20:AY20"/>
    <mergeCell ref="AP22:AS22"/>
    <mergeCell ref="AP23:AS23"/>
    <mergeCell ref="AT22:AU22"/>
    <mergeCell ref="AT23:AU23"/>
    <mergeCell ref="AV22:AW22"/>
    <mergeCell ref="AV23:AW23"/>
    <mergeCell ref="AX21:AY21"/>
    <mergeCell ref="AX22:AY22"/>
    <mergeCell ref="AX23:AY23"/>
    <mergeCell ref="Z60:AA60"/>
    <mergeCell ref="L95:O96"/>
    <mergeCell ref="U75:W75"/>
    <mergeCell ref="G4:O4"/>
    <mergeCell ref="N7:O7"/>
    <mergeCell ref="G7:M7"/>
    <mergeCell ref="G9:M9"/>
    <mergeCell ref="N9:O9"/>
    <mergeCell ref="G5:O5"/>
    <mergeCell ref="U9:V9"/>
    <mergeCell ref="O13:Q13"/>
    <mergeCell ref="O88:R89"/>
    <mergeCell ref="U15:Z15"/>
    <mergeCell ref="U31:Z31"/>
    <mergeCell ref="Y41:AA41"/>
    <mergeCell ref="Y44:AA44"/>
    <mergeCell ref="AB44:AC45"/>
    <mergeCell ref="Z45:AA45"/>
    <mergeCell ref="AB41:AC42"/>
    <mergeCell ref="O91:R92"/>
    <mergeCell ref="Y25:AA25"/>
    <mergeCell ref="AB25:AC26"/>
    <mergeCell ref="D20:E20"/>
    <mergeCell ref="C22:E22"/>
    <mergeCell ref="F22:G23"/>
    <mergeCell ref="Y22:AA22"/>
    <mergeCell ref="AB22:AC23"/>
    <mergeCell ref="Y35:AA35"/>
    <mergeCell ref="AB35:AC36"/>
    <mergeCell ref="Z36:AA36"/>
    <mergeCell ref="Y19:AA19"/>
    <mergeCell ref="Y38:AA38"/>
    <mergeCell ref="AB38:AC39"/>
    <mergeCell ref="C41:E41"/>
    <mergeCell ref="C44:E44"/>
    <mergeCell ref="Z39:AA39"/>
    <mergeCell ref="AJ13:AM13"/>
    <mergeCell ref="AE13:AI13"/>
    <mergeCell ref="AV18:AW19"/>
    <mergeCell ref="AT18:AU19"/>
    <mergeCell ref="AP31:AU31"/>
    <mergeCell ref="D23:E23"/>
    <mergeCell ref="C25:E25"/>
    <mergeCell ref="F25:G26"/>
    <mergeCell ref="D26:E26"/>
    <mergeCell ref="B31:D31"/>
    <mergeCell ref="C19:E19"/>
    <mergeCell ref="F19:G20"/>
    <mergeCell ref="H19:H20"/>
  </mergeCells>
  <conditionalFormatting sqref="F38">
    <cfRule type="iconSet" priority="296">
      <iconSet showValue="0" reverse="1">
        <cfvo type="percent" val="0"/>
        <cfvo type="num" val="$D$39" gte="0"/>
        <cfvo type="num" val="$D$39"/>
      </iconSet>
    </cfRule>
  </conditionalFormatting>
  <conditionalFormatting sqref="AB62">
    <cfRule type="iconSet" priority="277">
      <iconSet showValue="0" reverse="1">
        <cfvo type="percent" val="0"/>
        <cfvo type="num" val="$Z$63" gte="0"/>
        <cfvo type="num" val="$Z$63"/>
      </iconSet>
    </cfRule>
  </conditionalFormatting>
  <conditionalFormatting sqref="AB65">
    <cfRule type="iconSet" priority="276">
      <iconSet showValue="0" reverse="1">
        <cfvo type="percent" val="0"/>
        <cfvo type="num" val="$Z$66" gte="0"/>
        <cfvo type="num" val="$Z$66"/>
      </iconSet>
    </cfRule>
  </conditionalFormatting>
  <conditionalFormatting sqref="P7:Q7">
    <cfRule type="iconSet" priority="228">
      <iconSet iconSet="3Symbols2" showValue="0">
        <cfvo type="percent" val="0"/>
        <cfvo type="num" val="40"/>
        <cfvo type="num" val="40"/>
      </iconSet>
    </cfRule>
  </conditionalFormatting>
  <conditionalFormatting sqref="AI72">
    <cfRule type="iconSet" priority="210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G51">
    <cfRule type="iconSet" priority="191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E48">
    <cfRule type="iconSet" priority="18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G64">
    <cfRule type="iconSet" priority="17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F61">
    <cfRule type="iconSet" priority="17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E61">
    <cfRule type="iconSet" priority="175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E21">
    <cfRule type="iconSet" priority="173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F21">
    <cfRule type="iconSet" priority="171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G24">
    <cfRule type="iconSet" priority="16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I21">
    <cfRule type="iconSet" priority="16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H43">
    <cfRule type="iconSet" priority="165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G40">
    <cfRule type="iconSet" priority="163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F37">
    <cfRule type="iconSet" priority="161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E37">
    <cfRule type="iconSet" priority="15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B77">
    <cfRule type="iconSet" priority="15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B78">
    <cfRule type="iconSet" priority="15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B79">
    <cfRule type="iconSet" priority="156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B80">
    <cfRule type="iconSet" priority="155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U72:W72">
    <cfRule type="iconSet" priority="15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U73:W73">
    <cfRule type="iconSet" priority="153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U74:W74">
    <cfRule type="iconSet" priority="15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U75:W75">
    <cfRule type="iconSet" priority="151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P3">
    <cfRule type="iconSet" priority="150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P4">
    <cfRule type="iconSet" priority="14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P5">
    <cfRule type="iconSet" priority="14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P6">
    <cfRule type="iconSet" priority="14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P8:AP9">
    <cfRule type="iconSet" priority="146">
      <iconSet iconSet="3Symbols2" showValue="0">
        <cfvo type="percent" val="0"/>
        <cfvo type="num" val="0" gte="0"/>
        <cfvo type="num" val="0"/>
      </iconSet>
    </cfRule>
  </conditionalFormatting>
  <conditionalFormatting sqref="F41">
    <cfRule type="iconSet" priority="141">
      <iconSet showValue="0" reverse="1">
        <cfvo type="percent" val="0"/>
        <cfvo type="num" val="$D$42" gte="0"/>
        <cfvo type="num" val="$D$42"/>
      </iconSet>
    </cfRule>
  </conditionalFormatting>
  <conditionalFormatting sqref="F44">
    <cfRule type="iconSet" priority="140">
      <iconSet showValue="0" reverse="1">
        <cfvo type="percent" val="0"/>
        <cfvo type="num" val="$D$45" gte="0"/>
        <cfvo type="num" val="$D$45"/>
      </iconSet>
    </cfRule>
  </conditionalFormatting>
  <conditionalFormatting sqref="M43">
    <cfRule type="iconSet" priority="13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L40">
    <cfRule type="iconSet" priority="13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K37">
    <cfRule type="iconSet" priority="13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E34">
    <cfRule type="iconSet" priority="5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E18">
    <cfRule type="iconSet" priority="45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E58">
    <cfRule type="iconSet" priority="3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F19">
    <cfRule type="iconSet" priority="31">
      <iconSet showValue="0" reverse="1">
        <cfvo type="percent" val="0"/>
        <cfvo type="num" val="$D$20" gte="0"/>
        <cfvo type="num" val="$D$20"/>
      </iconSet>
    </cfRule>
  </conditionalFormatting>
  <conditionalFormatting sqref="F22">
    <cfRule type="iconSet" priority="30">
      <iconSet showValue="0" reverse="1">
        <cfvo type="percent" val="0"/>
        <cfvo type="num" val="$D$23" gte="0"/>
        <cfvo type="num" val="$D$23"/>
      </iconSet>
    </cfRule>
  </conditionalFormatting>
  <conditionalFormatting sqref="F25">
    <cfRule type="iconSet" priority="29">
      <iconSet showValue="0" reverse="1">
        <cfvo type="percent" val="0"/>
        <cfvo type="num" val="$D$26" gte="0"/>
        <cfvo type="num" val="$D$26"/>
      </iconSet>
    </cfRule>
  </conditionalFormatting>
  <conditionalFormatting sqref="M24">
    <cfRule type="iconSet" priority="2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L21">
    <cfRule type="iconSet" priority="2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K18">
    <cfRule type="iconSet" priority="26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J18">
    <cfRule type="iconSet" priority="25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B59">
    <cfRule type="iconSet" priority="7">
      <iconSet showValue="0" reverse="1">
        <cfvo type="percent" val="0"/>
        <cfvo type="num" val="$Z$60" gte="0"/>
        <cfvo type="num" val="$Z$60"/>
      </iconSet>
    </cfRule>
  </conditionalFormatting>
  <conditionalFormatting sqref="P9:Q9">
    <cfRule type="iconSet" priority="1431">
      <iconSet iconSet="3Symbols2" showValue="0">
        <cfvo type="percent" val="0"/>
        <cfvo type="num" val="$R$11" gte="0"/>
        <cfvo type="num" val="$R$11"/>
      </iconSet>
    </cfRule>
  </conditionalFormatting>
  <conditionalFormatting sqref="AB49">
    <cfRule type="iconSet" priority="1606">
      <iconSet showValue="0" reverse="1">
        <cfvo type="percent" val="0"/>
        <cfvo type="num" val="$Z$50" gte="0"/>
        <cfvo type="num" val="$Z$50"/>
      </iconSet>
    </cfRule>
  </conditionalFormatting>
  <conditionalFormatting sqref="AE50 M45 L41:L42 K39 AG42 AF39 AF23 AE36 AE20 M26 L22:L23 K20 AG65:AG66 AF63 AE60 AG26 M61 AH45 AG54">
    <cfRule type="cellIs" dxfId="7" priority="1681" stopIfTrue="1" operator="greaterThanOrEqual">
      <formula>$AW$34</formula>
    </cfRule>
    <cfRule type="cellIs" dxfId="6" priority="1682" operator="greaterThanOrEqual">
      <formula>$AW$34*0.9</formula>
    </cfRule>
  </conditionalFormatting>
  <conditionalFormatting sqref="AE49 AG52 AH44 M44 K38 AG41 AF38 AG25 AF22 AE35 AE19 M25 K19 AF62 AE59">
    <cfRule type="cellIs" dxfId="5" priority="1897" stopIfTrue="1" operator="greaterThanOrEqual">
      <formula>$AW$35</formula>
    </cfRule>
    <cfRule type="cellIs" dxfId="4" priority="1898" operator="greaterThanOrEqual">
      <formula>$AW$35*0.9</formula>
    </cfRule>
  </conditionalFormatting>
  <conditionalFormatting sqref="AG24 AE21:AF21 AI21">
    <cfRule type="iconSet" priority="1933">
      <iconSet iconSet="3Symbols2" showValue="0">
        <cfvo type="percent" val="0"/>
        <cfvo type="num" val="$AW$35" gte="0"/>
        <cfvo type="num" val="$AW$35*0.9"/>
      </iconSet>
    </cfRule>
  </conditionalFormatting>
  <conditionalFormatting sqref="AG40 AH43 AE37:AF37">
    <cfRule type="iconSet" priority="1936">
      <iconSet iconSet="3Symbols2" showValue="0">
        <cfvo type="percent" val="0"/>
        <cfvo type="num" val="$AW$35" gte="0"/>
        <cfvo type="num" val="$AW$35*0.9"/>
      </iconSet>
    </cfRule>
  </conditionalFormatting>
  <conditionalFormatting sqref="AE48">
    <cfRule type="iconSet" priority="1939">
      <iconSet iconSet="3Symbols2" showValue="0">
        <cfvo type="percent" val="0"/>
        <cfvo type="num" val="$AW$36" gte="0"/>
        <cfvo type="num" val="$AW$36" gte="0"/>
      </iconSet>
    </cfRule>
  </conditionalFormatting>
  <conditionalFormatting sqref="AG51">
    <cfRule type="iconSet" priority="1940">
      <iconSet iconSet="3Symbols2" showValue="0">
        <cfvo type="percent" val="0"/>
        <cfvo type="num" val="$AW$36" gte="0"/>
        <cfvo type="num" val="$AW$36" gte="0"/>
      </iconSet>
    </cfRule>
  </conditionalFormatting>
  <conditionalFormatting sqref="AE61">
    <cfRule type="iconSet" priority="1946">
      <iconSet iconSet="3Symbols2" showValue="0">
        <cfvo type="percent" val="0"/>
        <cfvo type="num" val="$AW$36" gte="0"/>
        <cfvo type="num" val="$AW$36" gte="0"/>
      </iconSet>
    </cfRule>
  </conditionalFormatting>
  <conditionalFormatting sqref="AG64">
    <cfRule type="iconSet" priority="1947">
      <iconSet iconSet="3Symbols2" showValue="0">
        <cfvo type="percent" val="0"/>
        <cfvo type="num" val="$AW$36" gte="0"/>
        <cfvo type="num" val="$AW$36" gte="0"/>
      </iconSet>
    </cfRule>
  </conditionalFormatting>
  <conditionalFormatting sqref="AF61">
    <cfRule type="iconSet" priority="1948">
      <iconSet iconSet="3Symbols2" showValue="0">
        <cfvo type="percent" val="0"/>
        <cfvo type="num" val="$AW$36" gte="0"/>
        <cfvo type="num" val="$AW$36" gte="0"/>
      </iconSet>
    </cfRule>
  </conditionalFormatting>
  <conditionalFormatting sqref="AE21">
    <cfRule type="iconSet" priority="1950">
      <iconSet iconSet="3Symbols2" showValue="0">
        <cfvo type="percent" val="0"/>
        <cfvo type="num" val="$AW$36" gte="0"/>
        <cfvo type="num" val="$AW$36" gte="0"/>
      </iconSet>
    </cfRule>
  </conditionalFormatting>
  <conditionalFormatting sqref="AF21">
    <cfRule type="iconSet" priority="1951">
      <iconSet iconSet="3Symbols2" showValue="0">
        <cfvo type="percent" val="0"/>
        <cfvo type="num" val="$AW$36" gte="0"/>
        <cfvo type="num" val="$AW$36" gte="0"/>
      </iconSet>
    </cfRule>
  </conditionalFormatting>
  <conditionalFormatting sqref="AG24">
    <cfRule type="iconSet" priority="1952">
      <iconSet iconSet="3Symbols2" showValue="0">
        <cfvo type="percent" val="0"/>
        <cfvo type="num" val="$AW$36" gte="0"/>
        <cfvo type="num" val="$AW$36" gte="0"/>
      </iconSet>
    </cfRule>
  </conditionalFormatting>
  <conditionalFormatting sqref="AI21">
    <cfRule type="iconSet" priority="1953">
      <iconSet iconSet="3Symbols2" showValue="0">
        <cfvo type="percent" val="0"/>
        <cfvo type="num" val="$AW$36" gte="0"/>
        <cfvo type="num" val="$AW$36" gte="0"/>
      </iconSet>
    </cfRule>
  </conditionalFormatting>
  <conditionalFormatting sqref="AH43">
    <cfRule type="iconSet" priority="1954">
      <iconSet iconSet="3Symbols2" showValue="0">
        <cfvo type="percent" val="0"/>
        <cfvo type="num" val="$AW$36" gte="0"/>
        <cfvo type="num" val="$AW$36" gte="0"/>
      </iconSet>
    </cfRule>
  </conditionalFormatting>
  <conditionalFormatting sqref="AG40">
    <cfRule type="iconSet" priority="1955">
      <iconSet iconSet="3Symbols2" showValue="0">
        <cfvo type="percent" val="0"/>
        <cfvo type="num" val="$AW$36" gte="0"/>
        <cfvo type="num" val="$AW$36" gte="0"/>
      </iconSet>
    </cfRule>
  </conditionalFormatting>
  <conditionalFormatting sqref="AF37">
    <cfRule type="iconSet" priority="1956">
      <iconSet iconSet="3Symbols2" showValue="0">
        <cfvo type="percent" val="0"/>
        <cfvo type="num" val="$AW$36" gte="0"/>
        <cfvo type="num" val="$AW$36" gte="0"/>
      </iconSet>
    </cfRule>
  </conditionalFormatting>
  <conditionalFormatting sqref="AE37">
    <cfRule type="iconSet" priority="1957">
      <iconSet iconSet="3Symbols2" showValue="0">
        <cfvo type="percent" val="0"/>
        <cfvo type="num" val="$AW$36" gte="0"/>
        <cfvo type="num" val="$AW$36" gte="0"/>
      </iconSet>
    </cfRule>
  </conditionalFormatting>
  <conditionalFormatting sqref="J18">
    <cfRule type="iconSet" priority="1959">
      <iconSet iconSet="3Symbols2" showValue="0">
        <cfvo type="percent" val="0"/>
        <cfvo type="num" val="$AW$36" gte="0"/>
        <cfvo type="num" val="$AW$36" gte="0"/>
      </iconSet>
    </cfRule>
  </conditionalFormatting>
  <conditionalFormatting sqref="AB30">
    <cfRule type="iconSet" priority="1960">
      <iconSet showValue="0" reverse="1">
        <cfvo type="percent" val="0"/>
        <cfvo type="num" val="#REF!" gte="0"/>
        <cfvo type="num" val="#REF!"/>
      </iconSet>
    </cfRule>
  </conditionalFormatting>
  <conditionalFormatting sqref="AB22">
    <cfRule type="iconSet" priority="1961">
      <iconSet showValue="0" reverse="1">
        <cfvo type="percent" val="0"/>
        <cfvo type="num" val="$Z$23" gte="0"/>
        <cfvo type="num" val="$Z$23"/>
      </iconSet>
    </cfRule>
  </conditionalFormatting>
  <conditionalFormatting sqref="AB25">
    <cfRule type="iconSet" priority="1962">
      <iconSet showValue="0" reverse="1">
        <cfvo type="percent" val="0"/>
        <cfvo type="num" val="$Z$26" gte="0"/>
        <cfvo type="num" val="$Z$26"/>
      </iconSet>
    </cfRule>
  </conditionalFormatting>
  <conditionalFormatting sqref="AB19">
    <cfRule type="iconSet" priority="1963">
      <iconSet showValue="0" reverse="1">
        <cfvo type="percent" val="0"/>
        <cfvo type="num" val="$Z$20" gte="0"/>
        <cfvo type="num" val="$Z$20"/>
      </iconSet>
    </cfRule>
  </conditionalFormatting>
  <conditionalFormatting sqref="AB35">
    <cfRule type="iconSet" priority="1964">
      <iconSet showValue="0" reverse="1">
        <cfvo type="percent" val="0"/>
        <cfvo type="num" val="$Z$36" gte="0"/>
        <cfvo type="num" val="$Z$36"/>
      </iconSet>
    </cfRule>
  </conditionalFormatting>
  <conditionalFormatting sqref="AB38">
    <cfRule type="iconSet" priority="1965">
      <iconSet showValue="0" reverse="1">
        <cfvo type="percent" val="0"/>
        <cfvo type="num" val="$Z$39" gte="0"/>
        <cfvo type="num" val="$Z$39"/>
      </iconSet>
    </cfRule>
  </conditionalFormatting>
  <conditionalFormatting sqref="AB41">
    <cfRule type="iconSet" priority="1966">
      <iconSet showValue="0" reverse="1">
        <cfvo type="percent" val="0"/>
        <cfvo type="num" val="$Z$42" gte="0"/>
        <cfvo type="num" val="$Z$42"/>
      </iconSet>
    </cfRule>
  </conditionalFormatting>
  <conditionalFormatting sqref="AB44">
    <cfRule type="iconSet" priority="1967">
      <iconSet showValue="0" reverse="1">
        <cfvo type="percent" val="0"/>
        <cfvo type="num" val="$Z$45" gte="0"/>
        <cfvo type="num" val="$Z$45"/>
      </iconSet>
    </cfRule>
  </conditionalFormatting>
  <conditionalFormatting sqref="AB52">
    <cfRule type="iconSet" priority="1968">
      <iconSet showValue="0" reverse="1">
        <cfvo type="percent" val="0"/>
        <cfvo type="num" val="#REF!" gte="0"/>
        <cfvo type="num" val="#REF!"/>
      </iconSet>
    </cfRule>
  </conditionalFormatting>
  <conditionalFormatting sqref="J36">
    <cfRule type="cellIs" dxfId="3" priority="2" stopIfTrue="1" operator="greaterThanOrEqual">
      <formula>$AW$34</formula>
    </cfRule>
    <cfRule type="cellIs" dxfId="2" priority="3" operator="greaterThanOrEqual">
      <formula>$AW$34*0.9</formula>
    </cfRule>
  </conditionalFormatting>
  <conditionalFormatting sqref="J35">
    <cfRule type="cellIs" dxfId="1" priority="4" stopIfTrue="1" operator="greaterThanOrEqual">
      <formula>$AW$35</formula>
    </cfRule>
    <cfRule type="cellIs" dxfId="0" priority="5" operator="greaterThanOrEqual">
      <formula>$AW$35*0.9</formula>
    </cfRule>
  </conditionalFormatting>
  <conditionalFormatting sqref="F35">
    <cfRule type="iconSet" priority="6">
      <iconSet showValue="0" reverse="1">
        <cfvo type="percent" val="0"/>
        <cfvo type="num" val="$D$36" gte="0"/>
        <cfvo type="num" val="$D$36"/>
      </iconSet>
    </cfRule>
  </conditionalFormatting>
  <conditionalFormatting sqref="J34">
    <cfRule type="iconSet" priority="1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dataValidations disablePrompts="1" count="3">
    <dataValidation type="whole" allowBlank="1" showInputMessage="1" showErrorMessage="1" errorTitle="Powierzchnia ogrzewana" error="Proszę podać wartość pomiędzy 40 a 350" prompt="Proszę wprowadzić wartości z zakresu od 40 do 350" sqref="N7">
      <formula1>40</formula1>
      <formula2>350</formula2>
    </dataValidation>
    <dataValidation type="list" allowBlank="1" showInputMessage="1" showErrorMessage="1" error="Należy określić rodzaj budynku" prompt="Proszę wybrać..." sqref="G5">
      <formula1>dane_bud</formula1>
    </dataValidation>
    <dataValidation type="whole" allowBlank="1" showInputMessage="1" showErrorMessage="1" errorTitle="Powierzchnia ogrzewana" error="Proszę podać wartość pomiędzy 1 a 8" prompt="Proszę wprowadzić wartości z zakresu od 1 do 8" sqref="N9:O9">
      <formula1>1</formula1>
      <formula2>8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Admin</vt:lpstr>
      <vt:lpstr>Wyniki</vt:lpstr>
      <vt:lpstr>dane_bud</vt:lpstr>
      <vt:lpstr>Wyniki!Print_Area</vt:lpstr>
    </vt:vector>
  </TitlesOfParts>
  <Company>Viessmann Werke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Pantera</dc:creator>
  <cp:lastModifiedBy>pand</cp:lastModifiedBy>
  <cp:lastPrinted>2017-01-18T20:41:00Z</cp:lastPrinted>
  <dcterms:created xsi:type="dcterms:W3CDTF">2012-01-10T17:38:48Z</dcterms:created>
  <dcterms:modified xsi:type="dcterms:W3CDTF">2017-01-18T21:09:27Z</dcterms:modified>
</cp:coreProperties>
</file>